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 tabRatio="666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Coke" sheetId="15" r:id="rId7"/>
    <sheet name="Steel" sheetId="16" r:id="rId8"/>
    <sheet name="SiMn 6014" sheetId="12" r:id="rId9"/>
    <sheet name="SiMn 6517" sheetId="14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I5" i="1" l="1"/>
  <c r="D103" i="16"/>
  <c r="D104" i="16"/>
  <c r="D105" i="16"/>
  <c r="D106" i="16"/>
  <c r="D107" i="16"/>
  <c r="B103" i="16"/>
  <c r="B104" i="16"/>
  <c r="B105" i="16"/>
  <c r="B106" i="16"/>
  <c r="B107" i="16"/>
  <c r="F104" i="16"/>
  <c r="G104" i="16"/>
  <c r="F105" i="16"/>
  <c r="G105" i="16"/>
  <c r="F106" i="16"/>
  <c r="G106" i="16"/>
  <c r="F107" i="16"/>
  <c r="G107" i="16"/>
  <c r="C103" i="16"/>
  <c r="D104" i="15"/>
  <c r="D105" i="15"/>
  <c r="B104" i="15"/>
  <c r="B105" i="15"/>
  <c r="C104" i="15"/>
  <c r="D781" i="7"/>
  <c r="D782" i="7"/>
  <c r="D783" i="7"/>
  <c r="D784" i="7"/>
  <c r="B781" i="7"/>
  <c r="B782" i="7"/>
  <c r="B783" i="7"/>
  <c r="B784" i="7"/>
  <c r="F781" i="7"/>
  <c r="G781" i="7"/>
  <c r="F782" i="7"/>
  <c r="G782" i="7"/>
  <c r="F783" i="7"/>
  <c r="G783" i="7"/>
  <c r="F784" i="7"/>
  <c r="G784" i="7"/>
  <c r="F785" i="7"/>
  <c r="G785" i="7"/>
  <c r="C780" i="7"/>
  <c r="F1235" i="5"/>
  <c r="G1235" i="5"/>
  <c r="F1236" i="5"/>
  <c r="G1236" i="5"/>
  <c r="F1234" i="5"/>
  <c r="G1234" i="5"/>
  <c r="D1233" i="5"/>
  <c r="B1233" i="5"/>
  <c r="B1234" i="5"/>
  <c r="D1234" i="5" s="1"/>
  <c r="C1233" i="5"/>
  <c r="D1236" i="4"/>
  <c r="D1237" i="4"/>
  <c r="B1236" i="4"/>
  <c r="B1237" i="4"/>
  <c r="C1236" i="4"/>
  <c r="D1235" i="3"/>
  <c r="D1236" i="3"/>
  <c r="B1235" i="3"/>
  <c r="B1236" i="3"/>
  <c r="F1236" i="3"/>
  <c r="G1236" i="3"/>
  <c r="C1235" i="3"/>
  <c r="D1237" i="2"/>
  <c r="D1238" i="2"/>
  <c r="B1237" i="2"/>
  <c r="B1238" i="2"/>
  <c r="C1237" i="2"/>
  <c r="E1235" i="4" l="1"/>
  <c r="B103" i="15"/>
  <c r="D103" i="15"/>
  <c r="B1232" i="5"/>
  <c r="D1232" i="5" s="1"/>
  <c r="B1235" i="4"/>
  <c r="D1235" i="4"/>
  <c r="B1234" i="3"/>
  <c r="D1234" i="3"/>
  <c r="B1236" i="2"/>
  <c r="D1236" i="2" s="1"/>
  <c r="E1234" i="4" l="1"/>
  <c r="B1235" i="2"/>
  <c r="D1235" i="2" s="1"/>
  <c r="B102" i="15"/>
  <c r="D102" i="15"/>
  <c r="D778" i="7"/>
  <c r="B778" i="7"/>
  <c r="B780" i="7"/>
  <c r="D780" i="7" s="1"/>
  <c r="F778" i="7"/>
  <c r="G778" i="7"/>
  <c r="F779" i="7"/>
  <c r="B779" i="7" s="1"/>
  <c r="D779" i="7" s="1"/>
  <c r="G779" i="7"/>
  <c r="F780" i="7"/>
  <c r="G780" i="7"/>
  <c r="B1234" i="4"/>
  <c r="D1234" i="4"/>
  <c r="B1231" i="5"/>
  <c r="D1231" i="5" s="1"/>
  <c r="B1233" i="3"/>
  <c r="D1233" i="3" s="1"/>
  <c r="E1233" i="4" l="1"/>
  <c r="D1231" i="3"/>
  <c r="D1232" i="3"/>
  <c r="B1231" i="3"/>
  <c r="B1232" i="3"/>
  <c r="C99" i="16"/>
  <c r="D100" i="15"/>
  <c r="D101" i="15"/>
  <c r="B100" i="15"/>
  <c r="B101" i="15"/>
  <c r="C100" i="15"/>
  <c r="C776" i="7"/>
  <c r="D1229" i="5"/>
  <c r="D1230" i="5"/>
  <c r="B1229" i="5"/>
  <c r="B1230" i="5"/>
  <c r="C1229" i="5"/>
  <c r="D1232" i="4"/>
  <c r="D1233" i="4"/>
  <c r="B1232" i="4"/>
  <c r="B1233" i="4"/>
  <c r="F1233" i="4"/>
  <c r="G1233" i="4"/>
  <c r="F1234" i="4"/>
  <c r="G1234" i="4"/>
  <c r="F1235" i="4"/>
  <c r="G1235" i="4"/>
  <c r="F1236" i="4"/>
  <c r="G1236" i="4"/>
  <c r="F1237" i="4"/>
  <c r="G1237" i="4"/>
  <c r="D1233" i="2"/>
  <c r="D1234" i="2"/>
  <c r="B1233" i="2"/>
  <c r="B1234" i="2"/>
  <c r="C1233" i="2"/>
  <c r="E1231" i="4" l="1"/>
  <c r="D98" i="16"/>
  <c r="B98" i="16"/>
  <c r="B99" i="16"/>
  <c r="D99" i="16" s="1"/>
  <c r="B100" i="16"/>
  <c r="D100" i="16" s="1"/>
  <c r="F98" i="16"/>
  <c r="G98" i="16"/>
  <c r="F99" i="16"/>
  <c r="G99" i="16"/>
  <c r="F100" i="16"/>
  <c r="G100" i="16"/>
  <c r="F101" i="16"/>
  <c r="B101" i="16" s="1"/>
  <c r="D101" i="16" s="1"/>
  <c r="G101" i="16"/>
  <c r="F102" i="16"/>
  <c r="B102" i="16" s="1"/>
  <c r="D102" i="16" s="1"/>
  <c r="G102" i="16"/>
  <c r="F103" i="16"/>
  <c r="G103" i="16"/>
  <c r="B99" i="15"/>
  <c r="D99" i="15" s="1"/>
  <c r="B1228" i="5"/>
  <c r="D1228" i="5" s="1"/>
  <c r="B1231" i="4"/>
  <c r="D1231" i="4" s="1"/>
  <c r="B1230" i="3"/>
  <c r="D1230" i="3"/>
  <c r="B1232" i="2"/>
  <c r="D1232" i="2" s="1"/>
  <c r="E1230" i="4" l="1"/>
  <c r="B97" i="16"/>
  <c r="D97" i="16"/>
  <c r="B98" i="15"/>
  <c r="D98" i="15" s="1"/>
  <c r="D774" i="7"/>
  <c r="B774" i="7"/>
  <c r="B775" i="7"/>
  <c r="D775" i="7" s="1"/>
  <c r="B777" i="7"/>
  <c r="D777" i="7" s="1"/>
  <c r="F774" i="7"/>
  <c r="G774" i="7"/>
  <c r="F775" i="7"/>
  <c r="G775" i="7"/>
  <c r="F776" i="7"/>
  <c r="B776" i="7" s="1"/>
  <c r="D776" i="7" s="1"/>
  <c r="G776" i="7"/>
  <c r="F777" i="7"/>
  <c r="G777" i="7"/>
  <c r="B1227" i="5"/>
  <c r="D1227" i="5"/>
  <c r="F1227" i="5"/>
  <c r="G1227" i="5"/>
  <c r="F1228" i="5"/>
  <c r="G1228" i="5"/>
  <c r="F1229" i="5"/>
  <c r="G1229" i="5"/>
  <c r="F1230" i="5"/>
  <c r="G1230" i="5"/>
  <c r="F1231" i="5"/>
  <c r="G1231" i="5"/>
  <c r="F1232" i="5"/>
  <c r="G1232" i="5"/>
  <c r="F1233" i="5"/>
  <c r="G1233" i="5"/>
  <c r="B1230" i="4"/>
  <c r="D1230" i="4"/>
  <c r="F1230" i="4"/>
  <c r="G1230" i="4"/>
  <c r="F1231" i="4"/>
  <c r="G1231" i="4"/>
  <c r="F1232" i="4"/>
  <c r="G1232" i="4"/>
  <c r="B1229" i="3"/>
  <c r="D1229" i="3"/>
  <c r="F1229" i="3"/>
  <c r="G1229" i="3"/>
  <c r="F1230" i="3"/>
  <c r="G1230" i="3"/>
  <c r="F1231" i="3"/>
  <c r="G1231" i="3"/>
  <c r="F1232" i="3"/>
  <c r="G1232" i="3"/>
  <c r="F1233" i="3"/>
  <c r="G1233" i="3"/>
  <c r="F1234" i="3"/>
  <c r="G1234" i="3"/>
  <c r="F1235" i="3"/>
  <c r="G1235" i="3"/>
  <c r="B1231" i="2"/>
  <c r="D1231" i="2" s="1"/>
  <c r="F1231" i="2"/>
  <c r="G1231" i="2"/>
  <c r="F1232" i="2"/>
  <c r="G1232" i="2"/>
  <c r="F1233" i="2"/>
  <c r="G1233" i="2"/>
  <c r="F1234" i="2"/>
  <c r="G1234" i="2"/>
  <c r="F1235" i="2"/>
  <c r="G1235" i="2"/>
  <c r="F1236" i="2"/>
  <c r="G1236" i="2"/>
  <c r="F1237" i="2"/>
  <c r="G1237" i="2"/>
  <c r="F1238" i="2"/>
  <c r="G1238" i="2"/>
  <c r="E1229" i="4" l="1"/>
  <c r="C95" i="16"/>
  <c r="D97" i="15"/>
  <c r="B96" i="15"/>
  <c r="B97" i="15"/>
  <c r="C96" i="15"/>
  <c r="G96" i="15" s="1"/>
  <c r="F96" i="15"/>
  <c r="F97" i="15"/>
  <c r="G97" i="15"/>
  <c r="F98" i="15"/>
  <c r="G98" i="15"/>
  <c r="F99" i="15"/>
  <c r="G99" i="15"/>
  <c r="F100" i="15"/>
  <c r="G100" i="15"/>
  <c r="F101" i="15"/>
  <c r="G101" i="15"/>
  <c r="F102" i="15"/>
  <c r="G102" i="15"/>
  <c r="F103" i="15"/>
  <c r="G103" i="15"/>
  <c r="F104" i="15"/>
  <c r="G104" i="15"/>
  <c r="F105" i="15"/>
  <c r="G105" i="15"/>
  <c r="C772" i="7"/>
  <c r="C1225" i="5"/>
  <c r="C1228" i="4"/>
  <c r="C1227" i="3"/>
  <c r="F1229" i="2"/>
  <c r="F1230" i="2"/>
  <c r="C1229" i="2"/>
  <c r="E1226" i="4" l="1"/>
  <c r="D770" i="7" l="1"/>
  <c r="B770" i="7"/>
  <c r="B772" i="7"/>
  <c r="D772" i="7" s="1"/>
  <c r="B773" i="7"/>
  <c r="D773" i="7" s="1"/>
  <c r="F770" i="7"/>
  <c r="G770" i="7"/>
  <c r="F771" i="7"/>
  <c r="B771" i="7" s="1"/>
  <c r="D771" i="7" s="1"/>
  <c r="G771" i="7"/>
  <c r="F772" i="7"/>
  <c r="G772" i="7"/>
  <c r="F773" i="7"/>
  <c r="G773" i="7"/>
  <c r="D1227" i="2"/>
  <c r="F1227" i="2"/>
  <c r="G1227" i="2"/>
  <c r="F1228" i="2"/>
  <c r="B1228" i="2" s="1"/>
  <c r="D1228" i="2" s="1"/>
  <c r="G1228" i="2"/>
  <c r="B1229" i="2"/>
  <c r="D1229" i="2" s="1"/>
  <c r="G1229" i="2"/>
  <c r="B1230" i="2"/>
  <c r="D1230" i="2" s="1"/>
  <c r="G1230" i="2"/>
  <c r="B1227" i="2"/>
  <c r="E1225" i="4" l="1"/>
  <c r="D92" i="16"/>
  <c r="B92" i="16"/>
  <c r="B93" i="16"/>
  <c r="D93" i="16" s="1"/>
  <c r="F92" i="16"/>
  <c r="G92" i="16"/>
  <c r="F93" i="16"/>
  <c r="G93" i="16"/>
  <c r="F94" i="16"/>
  <c r="B94" i="16" s="1"/>
  <c r="D94" i="16" s="1"/>
  <c r="G94" i="16"/>
  <c r="F95" i="16"/>
  <c r="B95" i="16" s="1"/>
  <c r="D95" i="16" s="1"/>
  <c r="G95" i="16"/>
  <c r="F96" i="16"/>
  <c r="B96" i="16" s="1"/>
  <c r="D96" i="16" s="1"/>
  <c r="G96" i="16"/>
  <c r="F97" i="16"/>
  <c r="G97" i="16"/>
  <c r="D93" i="15"/>
  <c r="D96" i="15"/>
  <c r="B93" i="15"/>
  <c r="F93" i="15"/>
  <c r="G93" i="15"/>
  <c r="F94" i="15"/>
  <c r="B94" i="15" s="1"/>
  <c r="D94" i="15" s="1"/>
  <c r="G94" i="15"/>
  <c r="F95" i="15"/>
  <c r="B95" i="15" s="1"/>
  <c r="D95" i="15" s="1"/>
  <c r="G95" i="15"/>
  <c r="B769" i="7"/>
  <c r="D769" i="7" s="1"/>
  <c r="D1222" i="5"/>
  <c r="B1222" i="5"/>
  <c r="F1222" i="5"/>
  <c r="G1222" i="5"/>
  <c r="F1223" i="5"/>
  <c r="B1223" i="5" s="1"/>
  <c r="D1223" i="5" s="1"/>
  <c r="G1223" i="5"/>
  <c r="F1224" i="5"/>
  <c r="B1224" i="5" s="1"/>
  <c r="D1224" i="5" s="1"/>
  <c r="G1224" i="5"/>
  <c r="F1225" i="5"/>
  <c r="B1225" i="5" s="1"/>
  <c r="D1225" i="5" s="1"/>
  <c r="G1225" i="5"/>
  <c r="F1226" i="5"/>
  <c r="B1226" i="5" s="1"/>
  <c r="D1226" i="5" s="1"/>
  <c r="G1226" i="5"/>
  <c r="D1224" i="3"/>
  <c r="B1224" i="3"/>
  <c r="B1225" i="3"/>
  <c r="D1225" i="3" s="1"/>
  <c r="B1226" i="3"/>
  <c r="D1226" i="3" s="1"/>
  <c r="F1224" i="3"/>
  <c r="G1224" i="3"/>
  <c r="F1225" i="3"/>
  <c r="G1225" i="3"/>
  <c r="F1226" i="3"/>
  <c r="G1226" i="3"/>
  <c r="F1227" i="3"/>
  <c r="B1227" i="3" s="1"/>
  <c r="D1227" i="3" s="1"/>
  <c r="G1227" i="3"/>
  <c r="F1228" i="3"/>
  <c r="B1228" i="3" s="1"/>
  <c r="D1228" i="3" s="1"/>
  <c r="G1228" i="3"/>
  <c r="D1225" i="4"/>
  <c r="B1225" i="4"/>
  <c r="B1227" i="4"/>
  <c r="D1227" i="4" s="1"/>
  <c r="F1225" i="4"/>
  <c r="G1225" i="4"/>
  <c r="F1226" i="4"/>
  <c r="B1226" i="4" s="1"/>
  <c r="D1226" i="4" s="1"/>
  <c r="G1226" i="4"/>
  <c r="F1227" i="4"/>
  <c r="G1227" i="4"/>
  <c r="F1228" i="4"/>
  <c r="B1228" i="4" s="1"/>
  <c r="D1228" i="4" s="1"/>
  <c r="G1228" i="4"/>
  <c r="F1229" i="4"/>
  <c r="B1229" i="4" s="1"/>
  <c r="D1229" i="4" s="1"/>
  <c r="G1229" i="4"/>
  <c r="D1226" i="2"/>
  <c r="F1226" i="2"/>
  <c r="B1226" i="2" s="1"/>
  <c r="G1226" i="2"/>
  <c r="E1224" i="4" l="1"/>
  <c r="D1221" i="3"/>
  <c r="D90" i="16"/>
  <c r="D91" i="16"/>
  <c r="B90" i="16"/>
  <c r="B91" i="16"/>
  <c r="F90" i="16"/>
  <c r="G90" i="16"/>
  <c r="F91" i="16"/>
  <c r="G91" i="16"/>
  <c r="D91" i="15"/>
  <c r="D92" i="15"/>
  <c r="B91" i="15"/>
  <c r="B92" i="15"/>
  <c r="F91" i="15"/>
  <c r="G91" i="15"/>
  <c r="F92" i="15"/>
  <c r="G92" i="15"/>
  <c r="C91" i="15"/>
  <c r="D767" i="7"/>
  <c r="D768" i="7"/>
  <c r="B767" i="7"/>
  <c r="B768" i="7"/>
  <c r="F767" i="7"/>
  <c r="G767" i="7"/>
  <c r="F768" i="7"/>
  <c r="G768" i="7"/>
  <c r="F769" i="7"/>
  <c r="G769" i="7"/>
  <c r="C767" i="7"/>
  <c r="B1220" i="5"/>
  <c r="B1221" i="5"/>
  <c r="D1220" i="5"/>
  <c r="D1221" i="5"/>
  <c r="F1220" i="5"/>
  <c r="G1220" i="5"/>
  <c r="F1221" i="5"/>
  <c r="G1221" i="5"/>
  <c r="C1220" i="5"/>
  <c r="D1223" i="4"/>
  <c r="D1224" i="4"/>
  <c r="B1223" i="4"/>
  <c r="B1224" i="4"/>
  <c r="F1223" i="4"/>
  <c r="G1223" i="4"/>
  <c r="F1224" i="4"/>
  <c r="G1224" i="4"/>
  <c r="C1223" i="4"/>
  <c r="D1222" i="3"/>
  <c r="D1223" i="3"/>
  <c r="B1222" i="3"/>
  <c r="B1223" i="3"/>
  <c r="F1222" i="3"/>
  <c r="G1222" i="3"/>
  <c r="F1223" i="3"/>
  <c r="G1223" i="3"/>
  <c r="C1222" i="3"/>
  <c r="D1224" i="2"/>
  <c r="D1225" i="2"/>
  <c r="B1224" i="2"/>
  <c r="B1225" i="2"/>
  <c r="F1224" i="2"/>
  <c r="G1224" i="2"/>
  <c r="F1225" i="2"/>
  <c r="G1225" i="2"/>
  <c r="C1224" i="2"/>
  <c r="I1222" i="3" l="1"/>
  <c r="I1112" i="3"/>
  <c r="I1221" i="3"/>
  <c r="J1231" i="3"/>
  <c r="J1230" i="3"/>
  <c r="J1229" i="3"/>
  <c r="E1222" i="4"/>
  <c r="D90" i="15"/>
  <c r="B90" i="15"/>
  <c r="F90" i="15"/>
  <c r="G90" i="15"/>
  <c r="C89" i="15"/>
  <c r="D89" i="16"/>
  <c r="B89" i="16"/>
  <c r="F89" i="16"/>
  <c r="G89" i="16"/>
  <c r="C88" i="16"/>
  <c r="D766" i="7"/>
  <c r="B766" i="7"/>
  <c r="F766" i="7"/>
  <c r="G766" i="7"/>
  <c r="C765" i="7"/>
  <c r="D1219" i="5"/>
  <c r="B1219" i="5"/>
  <c r="F1219" i="5"/>
  <c r="G1219" i="5"/>
  <c r="C1218" i="5"/>
  <c r="D1222" i="4"/>
  <c r="B1222" i="4"/>
  <c r="F1222" i="4"/>
  <c r="G1222" i="4"/>
  <c r="C1221" i="4"/>
  <c r="B1221" i="3"/>
  <c r="G1221" i="3"/>
  <c r="C1220" i="3"/>
  <c r="F1221" i="3"/>
  <c r="D1222" i="2"/>
  <c r="D1223" i="2"/>
  <c r="F1223" i="2"/>
  <c r="B1223" i="2" s="1"/>
  <c r="B1222" i="2"/>
  <c r="G1223" i="2"/>
  <c r="C1222" i="2"/>
  <c r="E1220" i="4" l="1"/>
  <c r="D88" i="15"/>
  <c r="B88" i="15"/>
  <c r="F88" i="15"/>
  <c r="G88" i="15"/>
  <c r="F89" i="15"/>
  <c r="B89" i="15" s="1"/>
  <c r="D89" i="15" s="1"/>
  <c r="G89" i="15"/>
  <c r="D1217" i="5"/>
  <c r="B1217" i="5"/>
  <c r="F1217" i="5"/>
  <c r="G1217" i="5"/>
  <c r="F1218" i="5"/>
  <c r="B1218" i="5" s="1"/>
  <c r="D1218" i="5" s="1"/>
  <c r="G1218" i="5"/>
  <c r="D1220" i="4"/>
  <c r="B1220" i="4"/>
  <c r="B1221" i="4"/>
  <c r="D1221" i="4" s="1"/>
  <c r="F1220" i="4"/>
  <c r="G1220" i="4"/>
  <c r="F1221" i="4"/>
  <c r="G1221" i="4"/>
  <c r="B1221" i="2"/>
  <c r="D1221" i="2"/>
  <c r="E1219" i="4" l="1"/>
  <c r="C85" i="16"/>
  <c r="D86" i="15"/>
  <c r="D87" i="15"/>
  <c r="F87" i="15"/>
  <c r="G87" i="15"/>
  <c r="B86" i="15"/>
  <c r="B87" i="15"/>
  <c r="C86" i="15"/>
  <c r="C762" i="7"/>
  <c r="D1215" i="5"/>
  <c r="D1216" i="5"/>
  <c r="G1216" i="5"/>
  <c r="F1216" i="5"/>
  <c r="B1216" i="5" s="1"/>
  <c r="B1215" i="5"/>
  <c r="C1215" i="5"/>
  <c r="B1219" i="4"/>
  <c r="D1219" i="4"/>
  <c r="B1218" i="4"/>
  <c r="D1218" i="4" s="1"/>
  <c r="C1217" i="3"/>
  <c r="D1219" i="2"/>
  <c r="D1220" i="2"/>
  <c r="B1219" i="2"/>
  <c r="B1220" i="2"/>
  <c r="C1219" i="2"/>
  <c r="E1217" i="4" l="1"/>
  <c r="D84" i="16"/>
  <c r="B84" i="16"/>
  <c r="B85" i="16"/>
  <c r="D85" i="16" s="1"/>
  <c r="B86" i="16"/>
  <c r="D86" i="16" s="1"/>
  <c r="F84" i="16"/>
  <c r="G84" i="16"/>
  <c r="F85" i="16"/>
  <c r="G85" i="16"/>
  <c r="F86" i="16"/>
  <c r="G86" i="16"/>
  <c r="F87" i="16"/>
  <c r="B87" i="16" s="1"/>
  <c r="D87" i="16" s="1"/>
  <c r="G87" i="16"/>
  <c r="F88" i="16"/>
  <c r="B88" i="16" s="1"/>
  <c r="D88" i="16" s="1"/>
  <c r="G88" i="16"/>
  <c r="B85" i="15"/>
  <c r="D85" i="15" s="1"/>
  <c r="D761" i="7"/>
  <c r="B761" i="7"/>
  <c r="B762" i="7"/>
  <c r="D762" i="7" s="1"/>
  <c r="F761" i="7"/>
  <c r="G761" i="7"/>
  <c r="F762" i="7"/>
  <c r="G762" i="7"/>
  <c r="F763" i="7"/>
  <c r="B763" i="7" s="1"/>
  <c r="D763" i="7" s="1"/>
  <c r="G763" i="7"/>
  <c r="F764" i="7"/>
  <c r="B764" i="7" s="1"/>
  <c r="D764" i="7" s="1"/>
  <c r="G764" i="7"/>
  <c r="F765" i="7"/>
  <c r="B765" i="7" s="1"/>
  <c r="D765" i="7" s="1"/>
  <c r="G765" i="7"/>
  <c r="B1214" i="5"/>
  <c r="D1214" i="5" s="1"/>
  <c r="B1217" i="4"/>
  <c r="D1217" i="4" s="1"/>
  <c r="D1216" i="3"/>
  <c r="B1216" i="3"/>
  <c r="F1216" i="3"/>
  <c r="G1216" i="3"/>
  <c r="F1217" i="3"/>
  <c r="B1217" i="3" s="1"/>
  <c r="D1217" i="3" s="1"/>
  <c r="G1217" i="3"/>
  <c r="F1218" i="3"/>
  <c r="B1218" i="3" s="1"/>
  <c r="D1218" i="3" s="1"/>
  <c r="G1218" i="3"/>
  <c r="F1219" i="3"/>
  <c r="B1219" i="3" s="1"/>
  <c r="D1219" i="3" s="1"/>
  <c r="G1219" i="3"/>
  <c r="F1220" i="3"/>
  <c r="B1220" i="3" s="1"/>
  <c r="D1220" i="3" s="1"/>
  <c r="G1220" i="3"/>
  <c r="B1218" i="2"/>
  <c r="D1218" i="2" s="1"/>
  <c r="F1218" i="2"/>
  <c r="G1218" i="2"/>
  <c r="F1219" i="2"/>
  <c r="G1219" i="2"/>
  <c r="F1220" i="2"/>
  <c r="G1220" i="2"/>
  <c r="F1221" i="2"/>
  <c r="G1221" i="2"/>
  <c r="F1222" i="2"/>
  <c r="G1222" i="2"/>
  <c r="E1216" i="4" l="1"/>
  <c r="D83" i="16"/>
  <c r="B83" i="16"/>
  <c r="F83" i="16"/>
  <c r="G83" i="16"/>
  <c r="D84" i="15"/>
  <c r="B84" i="15"/>
  <c r="F84" i="15"/>
  <c r="G84" i="15"/>
  <c r="F85" i="15"/>
  <c r="G85" i="15"/>
  <c r="F86" i="15"/>
  <c r="G86" i="15"/>
  <c r="D760" i="7"/>
  <c r="B760" i="7"/>
  <c r="F760" i="7"/>
  <c r="G760" i="7"/>
  <c r="B1213" i="5"/>
  <c r="D1213" i="5" s="1"/>
  <c r="F1213" i="5"/>
  <c r="G1213" i="5"/>
  <c r="F1214" i="5"/>
  <c r="G1214" i="5"/>
  <c r="F1215" i="5"/>
  <c r="G1215" i="5"/>
  <c r="B1216" i="4"/>
  <c r="D1216" i="4" s="1"/>
  <c r="F1216" i="4"/>
  <c r="G1216" i="4"/>
  <c r="F1217" i="4"/>
  <c r="G1217" i="4"/>
  <c r="F1218" i="4"/>
  <c r="G1218" i="4"/>
  <c r="F1219" i="4"/>
  <c r="G1219" i="4"/>
  <c r="B1215" i="3"/>
  <c r="D1215" i="3" s="1"/>
  <c r="G1215" i="3"/>
  <c r="B1217" i="2"/>
  <c r="D1217" i="2" s="1"/>
  <c r="F1217" i="2"/>
  <c r="G1217" i="2"/>
  <c r="E1214" i="4" l="1"/>
  <c r="E1215" i="4"/>
  <c r="D81" i="16"/>
  <c r="D82" i="16"/>
  <c r="B81" i="16"/>
  <c r="B82" i="16"/>
  <c r="C81" i="16"/>
  <c r="G81" i="16" s="1"/>
  <c r="F81" i="16"/>
  <c r="F82" i="16"/>
  <c r="C82" i="15"/>
  <c r="G82" i="15" s="1"/>
  <c r="D83" i="15"/>
  <c r="B82" i="15"/>
  <c r="D82" i="15" s="1"/>
  <c r="B83" i="15"/>
  <c r="F82" i="15"/>
  <c r="F83" i="15"/>
  <c r="D759" i="7"/>
  <c r="B759" i="7"/>
  <c r="C758" i="7"/>
  <c r="B758" i="7"/>
  <c r="D758" i="7" s="1"/>
  <c r="F758" i="7"/>
  <c r="F759" i="7"/>
  <c r="G759" i="7"/>
  <c r="G758" i="7"/>
  <c r="D1211" i="5"/>
  <c r="D1212" i="5"/>
  <c r="B1211" i="5"/>
  <c r="B1212" i="5"/>
  <c r="F1211" i="5"/>
  <c r="F1212" i="5"/>
  <c r="G1212" i="5"/>
  <c r="G1211" i="5"/>
  <c r="C1211" i="5"/>
  <c r="D1214" i="4"/>
  <c r="D1215" i="4"/>
  <c r="B1214" i="4"/>
  <c r="B1215" i="4"/>
  <c r="F1214" i="4"/>
  <c r="F1215" i="4"/>
  <c r="G1215" i="4"/>
  <c r="G1214" i="4"/>
  <c r="C1214" i="4"/>
  <c r="D1213" i="3"/>
  <c r="D1214" i="3"/>
  <c r="B1213" i="3"/>
  <c r="B1214" i="3"/>
  <c r="G1214" i="3"/>
  <c r="G1213" i="3"/>
  <c r="D1215" i="2"/>
  <c r="D1216" i="2"/>
  <c r="B1215" i="2"/>
  <c r="B1216" i="2"/>
  <c r="G1216" i="2"/>
  <c r="G1215" i="2"/>
  <c r="C1215" i="2"/>
  <c r="F1213" i="3"/>
  <c r="F1214" i="3"/>
  <c r="F1215" i="3"/>
  <c r="F1215" i="2"/>
  <c r="F1216" i="2"/>
  <c r="G82" i="16" l="1"/>
  <c r="G83" i="15"/>
  <c r="E1213" i="4"/>
  <c r="B1210" i="5"/>
  <c r="D1210" i="5" s="1"/>
  <c r="B1214" i="2"/>
  <c r="D1214" i="2" s="1"/>
  <c r="E1212" i="4" l="1"/>
  <c r="B1209" i="5"/>
  <c r="D1209" i="5" s="1"/>
  <c r="B1213" i="2"/>
  <c r="D1213" i="2" s="1"/>
  <c r="D16" i="1" l="1"/>
  <c r="E1211" i="4"/>
  <c r="B1208" i="5"/>
  <c r="D1208" i="5" s="1"/>
  <c r="B1212" i="2"/>
  <c r="D1212" i="2" s="1"/>
  <c r="E1210" i="4" l="1"/>
  <c r="B1207" i="5"/>
  <c r="D1207" i="5" s="1"/>
  <c r="B1211" i="2"/>
  <c r="D1211" i="2" s="1"/>
  <c r="E1209" i="4" l="1"/>
  <c r="D76" i="16"/>
  <c r="B76" i="16"/>
  <c r="B78" i="16"/>
  <c r="D78" i="16" s="1"/>
  <c r="B80" i="16"/>
  <c r="D80" i="16" s="1"/>
  <c r="F76" i="16"/>
  <c r="G76" i="16"/>
  <c r="F77" i="16"/>
  <c r="B77" i="16" s="1"/>
  <c r="D77" i="16" s="1"/>
  <c r="G77" i="16"/>
  <c r="F78" i="16"/>
  <c r="G78" i="16"/>
  <c r="F79" i="16"/>
  <c r="B79" i="16" s="1"/>
  <c r="D79" i="16" s="1"/>
  <c r="G79" i="16"/>
  <c r="F80" i="16"/>
  <c r="G80" i="16"/>
  <c r="D77" i="15"/>
  <c r="B77" i="15"/>
  <c r="B78" i="15"/>
  <c r="D78" i="15" s="1"/>
  <c r="B79" i="15"/>
  <c r="D79" i="15" s="1"/>
  <c r="F77" i="15"/>
  <c r="G77" i="15"/>
  <c r="F78" i="15"/>
  <c r="G78" i="15"/>
  <c r="F79" i="15"/>
  <c r="G79" i="15"/>
  <c r="F80" i="15"/>
  <c r="B80" i="15" s="1"/>
  <c r="D80" i="15" s="1"/>
  <c r="G80" i="15"/>
  <c r="F81" i="15"/>
  <c r="B81" i="15" s="1"/>
  <c r="D81" i="15" s="1"/>
  <c r="G81" i="15"/>
  <c r="D753" i="7"/>
  <c r="B753" i="7"/>
  <c r="F753" i="7"/>
  <c r="G753" i="7"/>
  <c r="F754" i="7"/>
  <c r="B754" i="7" s="1"/>
  <c r="D754" i="7" s="1"/>
  <c r="G754" i="7"/>
  <c r="F755" i="7"/>
  <c r="B755" i="7" s="1"/>
  <c r="D755" i="7" s="1"/>
  <c r="G755" i="7"/>
  <c r="F756" i="7"/>
  <c r="B756" i="7" s="1"/>
  <c r="D756" i="7" s="1"/>
  <c r="G756" i="7"/>
  <c r="F757" i="7"/>
  <c r="B757" i="7" s="1"/>
  <c r="D757" i="7" s="1"/>
  <c r="B1206" i="5"/>
  <c r="D1206" i="5"/>
  <c r="D1209" i="4"/>
  <c r="B1209" i="4"/>
  <c r="B1210" i="4"/>
  <c r="D1210" i="4" s="1"/>
  <c r="B1213" i="4"/>
  <c r="D1213" i="4" s="1"/>
  <c r="F1209" i="4"/>
  <c r="G1209" i="4"/>
  <c r="F1210" i="4"/>
  <c r="G1210" i="4"/>
  <c r="F1211" i="4"/>
  <c r="B1211" i="4" s="1"/>
  <c r="D1211" i="4" s="1"/>
  <c r="G1211" i="4"/>
  <c r="F1212" i="4"/>
  <c r="B1212" i="4" s="1"/>
  <c r="D1212" i="4" s="1"/>
  <c r="G1212" i="4"/>
  <c r="F1213" i="4"/>
  <c r="D1208" i="3"/>
  <c r="B1208" i="3"/>
  <c r="B1209" i="3"/>
  <c r="D1209" i="3" s="1"/>
  <c r="F1208" i="3"/>
  <c r="G1208" i="3"/>
  <c r="F1209" i="3"/>
  <c r="G1209" i="3"/>
  <c r="F1210" i="3"/>
  <c r="B1210" i="3" s="1"/>
  <c r="D1210" i="3" s="1"/>
  <c r="G1210" i="3"/>
  <c r="F1211" i="3"/>
  <c r="B1211" i="3" s="1"/>
  <c r="D1211" i="3" s="1"/>
  <c r="G1211" i="3"/>
  <c r="F1212" i="3"/>
  <c r="B1212" i="3" s="1"/>
  <c r="D1212" i="3" s="1"/>
  <c r="B1210" i="2"/>
  <c r="D1210" i="2"/>
  <c r="F1210" i="2"/>
  <c r="G1210" i="2"/>
  <c r="F1211" i="2"/>
  <c r="G1211" i="2"/>
  <c r="F1212" i="2"/>
  <c r="G1212" i="2"/>
  <c r="F1213" i="2"/>
  <c r="G1213" i="2"/>
  <c r="F1214" i="2"/>
  <c r="E1208" i="4" l="1"/>
  <c r="D21" i="14"/>
  <c r="F15" i="14"/>
  <c r="F16" i="14"/>
  <c r="F17" i="14"/>
  <c r="F18" i="14"/>
  <c r="F19" i="14"/>
  <c r="F20" i="14"/>
  <c r="D22" i="12"/>
  <c r="D23" i="12"/>
  <c r="D24" i="12"/>
  <c r="D25" i="12"/>
  <c r="D26" i="12"/>
  <c r="D27" i="12"/>
  <c r="D28" i="12"/>
  <c r="D29" i="12"/>
  <c r="D30" i="12"/>
  <c r="D31" i="12"/>
  <c r="D16" i="12"/>
  <c r="F16" i="12"/>
  <c r="F17" i="12"/>
  <c r="F18" i="12"/>
  <c r="F19" i="12"/>
  <c r="F20" i="12"/>
  <c r="F21" i="12"/>
  <c r="B75" i="16"/>
  <c r="D75" i="16" s="1"/>
  <c r="B76" i="15"/>
  <c r="D76" i="15" s="1"/>
  <c r="B752" i="7"/>
  <c r="D752" i="7"/>
  <c r="F752" i="7"/>
  <c r="G752" i="7"/>
  <c r="B1208" i="4"/>
  <c r="D1208" i="4" s="1"/>
  <c r="D1205" i="5"/>
  <c r="F1205" i="5"/>
  <c r="G1205" i="5"/>
  <c r="F1206" i="5"/>
  <c r="G1206" i="5"/>
  <c r="F1207" i="5"/>
  <c r="G1207" i="5"/>
  <c r="F1208" i="5"/>
  <c r="G1208" i="5"/>
  <c r="F1209" i="5"/>
  <c r="G1209" i="5"/>
  <c r="F1210" i="5"/>
  <c r="B1205" i="5"/>
  <c r="D13" i="1" l="1"/>
  <c r="D12" i="1"/>
  <c r="D11" i="1"/>
  <c r="F14" i="14"/>
  <c r="B14" i="14" s="1"/>
  <c r="D14" i="14" s="1"/>
  <c r="F15" i="12"/>
  <c r="F751" i="7"/>
  <c r="B15" i="12"/>
  <c r="D15" i="12" s="1"/>
  <c r="E1207" i="4"/>
  <c r="B74" i="16"/>
  <c r="D74" i="16" s="1"/>
  <c r="B75" i="15"/>
  <c r="D75" i="15" s="1"/>
  <c r="B751" i="7"/>
  <c r="D751" i="7" s="1"/>
  <c r="B1204" i="5"/>
  <c r="D1204" i="5"/>
  <c r="B1207" i="4"/>
  <c r="D1207" i="4" s="1"/>
  <c r="E1206" i="4" l="1"/>
  <c r="B73" i="16"/>
  <c r="D73" i="16" s="1"/>
  <c r="B74" i="15"/>
  <c r="D74" i="15" s="1"/>
  <c r="B750" i="7"/>
  <c r="D750" i="7"/>
  <c r="B1203" i="5"/>
  <c r="D1203" i="5" s="1"/>
  <c r="B1206" i="4"/>
  <c r="D1206" i="4"/>
  <c r="D1207" i="2"/>
  <c r="B1207" i="2"/>
  <c r="D1205" i="3"/>
  <c r="B1205" i="3"/>
  <c r="F1205" i="3"/>
  <c r="G1205" i="3"/>
  <c r="F1206" i="3"/>
  <c r="B1206" i="3" s="1"/>
  <c r="D1206" i="3" s="1"/>
  <c r="G1206" i="3"/>
  <c r="F1207" i="3"/>
  <c r="B1207" i="3" s="1"/>
  <c r="D1207" i="3" s="1"/>
  <c r="G1207" i="3"/>
  <c r="F1207" i="2"/>
  <c r="G1207" i="2"/>
  <c r="F1208" i="2"/>
  <c r="B1208" i="2" s="1"/>
  <c r="D1208" i="2" s="1"/>
  <c r="G1208" i="2"/>
  <c r="F1209" i="2"/>
  <c r="B1209" i="2" s="1"/>
  <c r="D1209" i="2" s="1"/>
  <c r="G1209" i="2"/>
  <c r="E1205" i="4" l="1"/>
  <c r="C71" i="16"/>
  <c r="G72" i="16" s="1"/>
  <c r="B72" i="16"/>
  <c r="D72" i="16" s="1"/>
  <c r="F72" i="16"/>
  <c r="F73" i="16"/>
  <c r="G73" i="16"/>
  <c r="F74" i="16"/>
  <c r="G74" i="16"/>
  <c r="F75" i="16"/>
  <c r="G75" i="16"/>
  <c r="B73" i="15"/>
  <c r="D73" i="15" s="1"/>
  <c r="F73" i="15"/>
  <c r="G73" i="15"/>
  <c r="F74" i="15"/>
  <c r="G74" i="15"/>
  <c r="F75" i="15"/>
  <c r="G75" i="15"/>
  <c r="F76" i="15"/>
  <c r="G76" i="15"/>
  <c r="C748" i="7"/>
  <c r="B749" i="7"/>
  <c r="D749" i="7" s="1"/>
  <c r="F749" i="7"/>
  <c r="G749" i="7"/>
  <c r="F750" i="7"/>
  <c r="G750" i="7"/>
  <c r="G751" i="7"/>
  <c r="B1202" i="5"/>
  <c r="D1202" i="5" s="1"/>
  <c r="F1202" i="5"/>
  <c r="G1202" i="5"/>
  <c r="F1203" i="5"/>
  <c r="G1203" i="5"/>
  <c r="F1204" i="5"/>
  <c r="G1204" i="5"/>
  <c r="B1205" i="4"/>
  <c r="D1205" i="4" s="1"/>
  <c r="F1205" i="4"/>
  <c r="G1205" i="4"/>
  <c r="F1206" i="4"/>
  <c r="G1206" i="4"/>
  <c r="F1207" i="4"/>
  <c r="G1207" i="4"/>
  <c r="F1208" i="4"/>
  <c r="G1208" i="4"/>
  <c r="D1204" i="3"/>
  <c r="F1204" i="3"/>
  <c r="B1204" i="3" s="1"/>
  <c r="G1204" i="3"/>
  <c r="C1205" i="2"/>
  <c r="G1206" i="2" s="1"/>
  <c r="B1206" i="2"/>
  <c r="D1206" i="2" s="1"/>
  <c r="F1206" i="2"/>
  <c r="E1204" i="4" l="1"/>
  <c r="G1203" i="3"/>
  <c r="G1202" i="3"/>
  <c r="F1203" i="3"/>
  <c r="B1203" i="3" s="1"/>
  <c r="D1203" i="3" s="1"/>
  <c r="F1202" i="3"/>
  <c r="B1202" i="3" s="1"/>
  <c r="D1202" i="3" s="1"/>
  <c r="G1204" i="2"/>
  <c r="B1205" i="2"/>
  <c r="D1205" i="2" s="1"/>
  <c r="D1204" i="2"/>
  <c r="B1204" i="2"/>
  <c r="G1205" i="2"/>
  <c r="F1205" i="2"/>
  <c r="F1204" i="2"/>
  <c r="G1204" i="4"/>
  <c r="F1204" i="4"/>
  <c r="B1204" i="4" s="1"/>
  <c r="D1204" i="4" s="1"/>
  <c r="G1203" i="4"/>
  <c r="F1203" i="4"/>
  <c r="B1203" i="4" s="1"/>
  <c r="D1203" i="4" s="1"/>
  <c r="E1203" i="4"/>
  <c r="F1201" i="5"/>
  <c r="B1201" i="5" s="1"/>
  <c r="D1201" i="5" s="1"/>
  <c r="G1201" i="5"/>
  <c r="G1200" i="5"/>
  <c r="F1200" i="5"/>
  <c r="B1200" i="5" s="1"/>
  <c r="D1200" i="5" s="1"/>
  <c r="D748" i="7"/>
  <c r="D747" i="7"/>
  <c r="G748" i="7"/>
  <c r="G747" i="7"/>
  <c r="G746" i="7"/>
  <c r="F748" i="7"/>
  <c r="F747" i="7"/>
  <c r="B747" i="7" s="1"/>
  <c r="B748" i="7"/>
  <c r="G70" i="16"/>
  <c r="G71" i="16"/>
  <c r="B71" i="16"/>
  <c r="D71" i="16" s="1"/>
  <c r="B70" i="16"/>
  <c r="D70" i="16" s="1"/>
  <c r="G72" i="15"/>
  <c r="G71" i="15"/>
  <c r="D71" i="15"/>
  <c r="F72" i="15"/>
  <c r="B72" i="15" s="1"/>
  <c r="D72" i="15" s="1"/>
  <c r="F71" i="15"/>
  <c r="B71" i="15" s="1"/>
  <c r="F71" i="16"/>
  <c r="F70" i="16"/>
  <c r="E1202" i="4" l="1"/>
  <c r="B69" i="16"/>
  <c r="D69" i="16" s="1"/>
  <c r="B70" i="15"/>
  <c r="D70" i="15" s="1"/>
  <c r="B1202" i="4"/>
  <c r="D1202" i="4"/>
  <c r="B1199" i="5"/>
  <c r="D1199" i="5"/>
  <c r="B1201" i="3"/>
  <c r="D1201" i="3" s="1"/>
  <c r="E1201" i="4" l="1"/>
  <c r="B68" i="16"/>
  <c r="D68" i="16"/>
  <c r="F68" i="16"/>
  <c r="G68" i="16"/>
  <c r="F69" i="16"/>
  <c r="G69" i="16"/>
  <c r="B69" i="15"/>
  <c r="D69" i="15" s="1"/>
  <c r="F69" i="15"/>
  <c r="G69" i="15"/>
  <c r="F70" i="15"/>
  <c r="G70" i="15"/>
  <c r="D745" i="7"/>
  <c r="B745" i="7"/>
  <c r="F745" i="7"/>
  <c r="F746" i="7"/>
  <c r="B746" i="7" s="1"/>
  <c r="D746" i="7" s="1"/>
  <c r="B1198" i="5"/>
  <c r="D1198" i="5"/>
  <c r="F1198" i="5"/>
  <c r="G1198" i="5"/>
  <c r="F1199" i="5"/>
  <c r="G1199" i="5"/>
  <c r="B1201" i="4"/>
  <c r="D1201" i="4" s="1"/>
  <c r="F1201" i="4"/>
  <c r="G1201" i="4"/>
  <c r="F1202" i="4"/>
  <c r="G1202" i="4"/>
  <c r="B1200" i="3"/>
  <c r="D1200" i="3" s="1"/>
  <c r="F1200" i="3"/>
  <c r="G1200" i="3"/>
  <c r="F1201" i="3"/>
  <c r="G1201" i="3"/>
  <c r="D1202" i="2"/>
  <c r="B1202" i="2"/>
  <c r="F1202" i="2"/>
  <c r="G1202" i="2"/>
  <c r="F1203" i="2"/>
  <c r="B1203" i="2" s="1"/>
  <c r="D1203" i="2" s="1"/>
  <c r="G1203" i="2"/>
  <c r="E1200" i="4" l="1"/>
  <c r="D67" i="16"/>
  <c r="B67" i="16"/>
  <c r="F67" i="16"/>
  <c r="G67" i="16"/>
  <c r="F66" i="16"/>
  <c r="C66" i="16"/>
  <c r="B68" i="15"/>
  <c r="D68" i="15" s="1"/>
  <c r="F68" i="15"/>
  <c r="F67" i="15"/>
  <c r="C67" i="15"/>
  <c r="G68" i="15" s="1"/>
  <c r="D744" i="7"/>
  <c r="B744" i="7"/>
  <c r="F744" i="7"/>
  <c r="F743" i="7"/>
  <c r="C743" i="7"/>
  <c r="D1197" i="5"/>
  <c r="G1197" i="5"/>
  <c r="F1197" i="5"/>
  <c r="B1197" i="5" s="1"/>
  <c r="F1196" i="5"/>
  <c r="C1196" i="5"/>
  <c r="D1200" i="4"/>
  <c r="B1200" i="4"/>
  <c r="F1200" i="4"/>
  <c r="F1199" i="4"/>
  <c r="G1200" i="4"/>
  <c r="C1199" i="4"/>
  <c r="D1201" i="2"/>
  <c r="B1201" i="2"/>
  <c r="F1199" i="3"/>
  <c r="B1199" i="3" s="1"/>
  <c r="D1199" i="3" s="1"/>
  <c r="F1198" i="3"/>
  <c r="F1201" i="2"/>
  <c r="F1200" i="2"/>
  <c r="G1199" i="3"/>
  <c r="C1198" i="3"/>
  <c r="G1201" i="2"/>
  <c r="C1200" i="2"/>
  <c r="E1198" i="4" l="1"/>
  <c r="F1198" i="4"/>
  <c r="B1198" i="4" s="1"/>
  <c r="D1198" i="4" s="1"/>
  <c r="G1198" i="4"/>
  <c r="B1199" i="4"/>
  <c r="D1199" i="4" s="1"/>
  <c r="G1199" i="4"/>
  <c r="E1197" i="4" l="1"/>
  <c r="F64" i="16"/>
  <c r="B64" i="16" s="1"/>
  <c r="D64" i="16" s="1"/>
  <c r="G64" i="16"/>
  <c r="F65" i="16"/>
  <c r="B65" i="16" s="1"/>
  <c r="D65" i="16" s="1"/>
  <c r="G65" i="16"/>
  <c r="B66" i="16"/>
  <c r="D66" i="16" s="1"/>
  <c r="G66" i="16"/>
  <c r="F65" i="15"/>
  <c r="B65" i="15" s="1"/>
  <c r="D65" i="15" s="1"/>
  <c r="G65" i="15"/>
  <c r="F66" i="15"/>
  <c r="B66" i="15" s="1"/>
  <c r="D66" i="15" s="1"/>
  <c r="G66" i="15"/>
  <c r="B67" i="15"/>
  <c r="D67" i="15" s="1"/>
  <c r="G67" i="15"/>
  <c r="F741" i="7"/>
  <c r="B741" i="7" s="1"/>
  <c r="D741" i="7" s="1"/>
  <c r="F742" i="7"/>
  <c r="B742" i="7" s="1"/>
  <c r="D742" i="7" s="1"/>
  <c r="B743" i="7"/>
  <c r="D743" i="7" s="1"/>
  <c r="F1194" i="5"/>
  <c r="B1194" i="5" s="1"/>
  <c r="D1194" i="5" s="1"/>
  <c r="G1194" i="5"/>
  <c r="F1195" i="5"/>
  <c r="B1195" i="5" s="1"/>
  <c r="D1195" i="5" s="1"/>
  <c r="G1195" i="5"/>
  <c r="B1196" i="5"/>
  <c r="D1196" i="5" s="1"/>
  <c r="G1196" i="5"/>
  <c r="F1196" i="3"/>
  <c r="B1196" i="3" s="1"/>
  <c r="D1196" i="3" s="1"/>
  <c r="G1196" i="3"/>
  <c r="F1197" i="3"/>
  <c r="B1197" i="3" s="1"/>
  <c r="D1197" i="3" s="1"/>
  <c r="G1197" i="3"/>
  <c r="B1198" i="3"/>
  <c r="D1198" i="3" s="1"/>
  <c r="G1198" i="3"/>
  <c r="B1200" i="2"/>
  <c r="D1200" i="2" s="1"/>
  <c r="F1198" i="2"/>
  <c r="B1198" i="2" s="1"/>
  <c r="D1198" i="2" s="1"/>
  <c r="G1198" i="2"/>
  <c r="F1199" i="2"/>
  <c r="B1199" i="2" s="1"/>
  <c r="D1199" i="2" s="1"/>
  <c r="G1199" i="2"/>
  <c r="G1200" i="2"/>
  <c r="E1196" i="4" l="1"/>
  <c r="F62" i="16"/>
  <c r="B62" i="16" s="1"/>
  <c r="D62" i="16" s="1"/>
  <c r="G62" i="16"/>
  <c r="F63" i="16"/>
  <c r="B63" i="16" s="1"/>
  <c r="D63" i="16" s="1"/>
  <c r="G63" i="16"/>
  <c r="F63" i="15"/>
  <c r="B63" i="15" s="1"/>
  <c r="D63" i="15" s="1"/>
  <c r="F64" i="15"/>
  <c r="B64" i="15" s="1"/>
  <c r="D64" i="15" s="1"/>
  <c r="C63" i="15"/>
  <c r="G63" i="15" s="1"/>
  <c r="F739" i="7"/>
  <c r="B739" i="7" s="1"/>
  <c r="D739" i="7" s="1"/>
  <c r="F740" i="7"/>
  <c r="B740" i="7"/>
  <c r="D740" i="7" s="1"/>
  <c r="C739" i="7"/>
  <c r="F1192" i="5"/>
  <c r="B1192" i="5" s="1"/>
  <c r="D1192" i="5" s="1"/>
  <c r="G1192" i="5"/>
  <c r="F1193" i="5"/>
  <c r="B1193" i="5" s="1"/>
  <c r="D1193" i="5" s="1"/>
  <c r="G1193" i="5"/>
  <c r="C1192" i="5"/>
  <c r="E1195" i="4"/>
  <c r="E1194" i="4"/>
  <c r="F1195" i="4"/>
  <c r="B1195" i="4" s="1"/>
  <c r="D1195" i="4" s="1"/>
  <c r="G1195" i="4"/>
  <c r="F1196" i="4"/>
  <c r="B1196" i="4" s="1"/>
  <c r="D1196" i="4" s="1"/>
  <c r="G1196" i="4"/>
  <c r="F1197" i="4"/>
  <c r="B1197" i="4" s="1"/>
  <c r="D1197" i="4" s="1"/>
  <c r="G1197" i="4"/>
  <c r="C1195" i="4"/>
  <c r="B1194" i="3"/>
  <c r="D1194" i="3" s="1"/>
  <c r="B1195" i="3"/>
  <c r="D1195" i="3" s="1"/>
  <c r="F1193" i="3"/>
  <c r="G1193" i="3"/>
  <c r="F1194" i="3"/>
  <c r="G1194" i="3"/>
  <c r="F1195" i="3"/>
  <c r="G1195" i="3"/>
  <c r="C1194" i="3"/>
  <c r="F1196" i="2"/>
  <c r="B1196" i="2" s="1"/>
  <c r="D1196" i="2" s="1"/>
  <c r="G1196" i="2"/>
  <c r="F1197" i="2"/>
  <c r="B1197" i="2" s="1"/>
  <c r="D1197" i="2" s="1"/>
  <c r="G1197" i="2"/>
  <c r="C1196" i="2"/>
  <c r="G64" i="15" l="1"/>
  <c r="E1192" i="4"/>
  <c r="E1193" i="4"/>
  <c r="C59" i="16"/>
  <c r="C60" i="15"/>
  <c r="C736" i="7"/>
  <c r="C1189" i="5"/>
  <c r="E1191" i="4" l="1"/>
  <c r="E1190" i="4" l="1"/>
  <c r="F57" i="16"/>
  <c r="B57" i="16" s="1"/>
  <c r="D57" i="16" s="1"/>
  <c r="G57" i="16"/>
  <c r="F58" i="16"/>
  <c r="B58" i="16" s="1"/>
  <c r="D58" i="16" s="1"/>
  <c r="G58" i="16"/>
  <c r="F59" i="16"/>
  <c r="B59" i="16" s="1"/>
  <c r="D59" i="16" s="1"/>
  <c r="G59" i="16"/>
  <c r="F60" i="16"/>
  <c r="B60" i="16" s="1"/>
  <c r="D60" i="16" s="1"/>
  <c r="G60" i="16"/>
  <c r="F61" i="16"/>
  <c r="B61" i="16" s="1"/>
  <c r="D61" i="16" s="1"/>
  <c r="G61" i="16"/>
  <c r="B58" i="15"/>
  <c r="D58" i="15" s="1"/>
  <c r="B59" i="15"/>
  <c r="D59" i="15" s="1"/>
  <c r="F58" i="15"/>
  <c r="G58" i="15"/>
  <c r="F59" i="15"/>
  <c r="G59" i="15"/>
  <c r="F60" i="15"/>
  <c r="B60" i="15" s="1"/>
  <c r="D60" i="15" s="1"/>
  <c r="G60" i="15"/>
  <c r="F61" i="15"/>
  <c r="B61" i="15" s="1"/>
  <c r="D61" i="15" s="1"/>
  <c r="G61" i="15"/>
  <c r="F62" i="15"/>
  <c r="G62" i="15"/>
  <c r="F734" i="7"/>
  <c r="B734" i="7" s="1"/>
  <c r="D734" i="7" s="1"/>
  <c r="F735" i="7"/>
  <c r="B735" i="7" s="1"/>
  <c r="D735" i="7" s="1"/>
  <c r="F736" i="7"/>
  <c r="B736" i="7" s="1"/>
  <c r="D736" i="7" s="1"/>
  <c r="F737" i="7"/>
  <c r="B737" i="7" s="1"/>
  <c r="D737" i="7" s="1"/>
  <c r="F738" i="7"/>
  <c r="B738" i="7" s="1"/>
  <c r="D738" i="7" s="1"/>
  <c r="F1187" i="5"/>
  <c r="B1187" i="5" s="1"/>
  <c r="D1187" i="5" s="1"/>
  <c r="G1187" i="5"/>
  <c r="F1188" i="5"/>
  <c r="B1188" i="5" s="1"/>
  <c r="D1188" i="5" s="1"/>
  <c r="G1188" i="5"/>
  <c r="F1189" i="5"/>
  <c r="B1189" i="5" s="1"/>
  <c r="D1189" i="5" s="1"/>
  <c r="G1189" i="5"/>
  <c r="F1190" i="5"/>
  <c r="B1190" i="5" s="1"/>
  <c r="D1190" i="5" s="1"/>
  <c r="G1190" i="5"/>
  <c r="F1191" i="5"/>
  <c r="B1191" i="5" s="1"/>
  <c r="D1191" i="5" s="1"/>
  <c r="G1191" i="5"/>
  <c r="F1190" i="4"/>
  <c r="B1190" i="4" s="1"/>
  <c r="D1190" i="4" s="1"/>
  <c r="G1190" i="4"/>
  <c r="F1191" i="4"/>
  <c r="B1191" i="4" s="1"/>
  <c r="D1191" i="4" s="1"/>
  <c r="G1191" i="4"/>
  <c r="F1192" i="4"/>
  <c r="B1192" i="4" s="1"/>
  <c r="D1192" i="4" s="1"/>
  <c r="G1192" i="4"/>
  <c r="F1193" i="4"/>
  <c r="B1193" i="4" s="1"/>
  <c r="D1193" i="4" s="1"/>
  <c r="G1193" i="4"/>
  <c r="F1194" i="4"/>
  <c r="B1194" i="4" s="1"/>
  <c r="D1194" i="4" s="1"/>
  <c r="G1194" i="4"/>
  <c r="F1189" i="3"/>
  <c r="B1189" i="3" s="1"/>
  <c r="D1189" i="3" s="1"/>
  <c r="G1189" i="3"/>
  <c r="F1190" i="3"/>
  <c r="B1190" i="3" s="1"/>
  <c r="D1190" i="3" s="1"/>
  <c r="G1190" i="3"/>
  <c r="F1191" i="3"/>
  <c r="B1191" i="3" s="1"/>
  <c r="D1191" i="3" s="1"/>
  <c r="G1191" i="3"/>
  <c r="F1192" i="3"/>
  <c r="B1192" i="3" s="1"/>
  <c r="D1192" i="3" s="1"/>
  <c r="G1192" i="3"/>
  <c r="B1193" i="3"/>
  <c r="D1193" i="3" s="1"/>
  <c r="B1191" i="2"/>
  <c r="D1191" i="2" s="1"/>
  <c r="F1191" i="2"/>
  <c r="G1191" i="2"/>
  <c r="F1192" i="2"/>
  <c r="B1192" i="2" s="1"/>
  <c r="D1192" i="2" s="1"/>
  <c r="G1192" i="2"/>
  <c r="F1193" i="2"/>
  <c r="B1193" i="2" s="1"/>
  <c r="D1193" i="2" s="1"/>
  <c r="G1193" i="2"/>
  <c r="F1194" i="2"/>
  <c r="B1194" i="2" s="1"/>
  <c r="D1194" i="2" s="1"/>
  <c r="G1194" i="2"/>
  <c r="F1195" i="2"/>
  <c r="B1195" i="2" s="1"/>
  <c r="D1195" i="2" s="1"/>
  <c r="G1195" i="2"/>
  <c r="B62" i="15" l="1"/>
  <c r="D62" i="15" s="1"/>
  <c r="E1189" i="4"/>
  <c r="G56" i="16"/>
  <c r="F56" i="16"/>
  <c r="B56" i="16" s="1"/>
  <c r="D56" i="16" s="1"/>
  <c r="F57" i="15"/>
  <c r="B57" i="15" s="1"/>
  <c r="D57" i="15" s="1"/>
  <c r="G57" i="15"/>
  <c r="F733" i="7"/>
  <c r="B733" i="7" s="1"/>
  <c r="D733" i="7" s="1"/>
  <c r="F1186" i="5"/>
  <c r="B1186" i="5" s="1"/>
  <c r="D1186" i="5" s="1"/>
  <c r="G1186" i="5"/>
  <c r="F1189" i="4"/>
  <c r="B1189" i="4" s="1"/>
  <c r="D1189" i="4" s="1"/>
  <c r="G1189" i="4"/>
  <c r="F1188" i="3"/>
  <c r="B1188" i="3" s="1"/>
  <c r="D1188" i="3" s="1"/>
  <c r="G1188" i="3"/>
  <c r="F1190" i="2"/>
  <c r="B1190" i="2" s="1"/>
  <c r="D1190" i="2" s="1"/>
  <c r="G1190" i="2"/>
  <c r="E1188" i="4" l="1"/>
  <c r="F55" i="16"/>
  <c r="B55" i="16" s="1"/>
  <c r="D55" i="16" s="1"/>
  <c r="G55" i="16"/>
  <c r="F56" i="15"/>
  <c r="B56" i="15" s="1"/>
  <c r="D56" i="15" s="1"/>
  <c r="G56" i="15"/>
  <c r="G732" i="7"/>
  <c r="F732" i="7"/>
  <c r="B732" i="7" s="1"/>
  <c r="D732" i="7" s="1"/>
  <c r="F1185" i="5"/>
  <c r="B1185" i="5" s="1"/>
  <c r="D1185" i="5" s="1"/>
  <c r="G1185" i="5"/>
  <c r="F1188" i="4"/>
  <c r="B1188" i="4" s="1"/>
  <c r="D1188" i="4" s="1"/>
  <c r="G1188" i="4"/>
  <c r="F1187" i="3"/>
  <c r="B1187" i="3" s="1"/>
  <c r="D1187" i="3" s="1"/>
  <c r="G1187" i="3"/>
  <c r="F1189" i="2"/>
  <c r="B1189" i="2" s="1"/>
  <c r="D1189" i="2" s="1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B21" i="14"/>
  <c r="G20" i="14"/>
  <c r="B20" i="14"/>
  <c r="D20" i="14" s="1"/>
  <c r="G19" i="14"/>
  <c r="B19" i="14"/>
  <c r="D19" i="14" s="1"/>
  <c r="G18" i="14"/>
  <c r="B18" i="14"/>
  <c r="D18" i="14" s="1"/>
  <c r="G17" i="14"/>
  <c r="B17" i="14"/>
  <c r="D17" i="14" s="1"/>
  <c r="G16" i="14"/>
  <c r="B16" i="14"/>
  <c r="D16" i="14" s="1"/>
  <c r="G15" i="14"/>
  <c r="B15" i="14"/>
  <c r="G13" i="14"/>
  <c r="B13" i="14"/>
  <c r="G12" i="14"/>
  <c r="B12" i="14"/>
  <c r="G11" i="14"/>
  <c r="B11" i="14"/>
  <c r="D11" i="14" s="1"/>
  <c r="G10" i="14"/>
  <c r="E13" i="1"/>
  <c r="B10" i="14"/>
  <c r="D10" i="14" s="1"/>
  <c r="G9" i="14"/>
  <c r="B9" i="14"/>
  <c r="D9" i="14" s="1"/>
  <c r="G8" i="14"/>
  <c r="B8" i="14"/>
  <c r="D8" i="14" s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B11" i="12"/>
  <c r="D11" i="12" s="1"/>
  <c r="B12" i="12"/>
  <c r="B13" i="12"/>
  <c r="B14" i="12"/>
  <c r="B16" i="12"/>
  <c r="B17" i="12"/>
  <c r="D17" i="12" s="1"/>
  <c r="B18" i="12"/>
  <c r="D18" i="12" s="1"/>
  <c r="B19" i="12"/>
  <c r="D19" i="12" s="1"/>
  <c r="B20" i="12"/>
  <c r="D20" i="12" s="1"/>
  <c r="B21" i="12"/>
  <c r="D21" i="12" s="1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D566" i="7"/>
  <c r="D1029" i="2"/>
  <c r="D582" i="7"/>
  <c r="I9" i="1"/>
  <c r="B15" i="1"/>
  <c r="I6" i="1"/>
  <c r="D6" i="1"/>
  <c r="E873" i="2"/>
  <c r="D5" i="1"/>
  <c r="I8" i="1"/>
  <c r="D7" i="1"/>
  <c r="D8" i="1"/>
  <c r="D1101" i="2"/>
  <c r="B1045" i="4"/>
  <c r="D1045" i="4"/>
  <c r="G1046" i="4"/>
  <c r="D1135" i="3"/>
  <c r="G8" i="1"/>
  <c r="H12" i="1" l="1"/>
  <c r="G12" i="1"/>
  <c r="D15" i="14"/>
  <c r="H13" i="1" s="1"/>
  <c r="G13" i="1"/>
  <c r="E9" i="1"/>
  <c r="D1123" i="3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<sst xmlns="http://schemas.openxmlformats.org/spreadsheetml/2006/main" count="4571" uniqueCount="1033">
  <si>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</si>
  <si>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</si>
  <si>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</si>
  <si>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</si>
  <si>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</si>
  <si>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</si>
  <si>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</si>
  <si>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</si>
  <si>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</si>
  <si>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</si>
  <si>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</si>
  <si>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</si>
  <si>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</si>
  <si>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</si>
  <si>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</si>
  <si>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</si>
  <si>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</si>
  <si>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</si>
  <si>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</si>
  <si>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</si>
  <si>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</si>
  <si>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</si>
  <si>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</si>
  <si>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</si>
  <si>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</si>
  <si>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</si>
  <si>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</si>
  <si>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</si>
  <si>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</si>
  <si>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</si>
  <si>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</si>
  <si>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</si>
  <si>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</si>
  <si>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</si>
  <si>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</si>
  <si>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</si>
  <si>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</si>
  <si>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</si>
  <si>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</si>
  <si>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</si>
  <si>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</si>
  <si>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</si>
  <si>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</si>
  <si>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</si>
  <si>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</si>
  <si>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</si>
  <si>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</si>
  <si>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</si>
  <si>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</si>
  <si>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</si>
  <si>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</si>
  <si>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</si>
  <si>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</si>
  <si>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</si>
  <si>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</si>
  <si>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</si>
  <si>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</si>
  <si>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</si>
  <si>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</si>
  <si>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</si>
  <si>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</si>
  <si>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</si>
  <si>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</si>
  <si>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</si>
  <si>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</si>
  <si>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</si>
  <si>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</si>
  <si>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</si>
  <si>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</si>
  <si>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</si>
  <si>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</si>
  <si>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</si>
  <si>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</si>
  <si>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</si>
  <si>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</si>
  <si>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</si>
  <si>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</si>
  <si>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</si>
  <si>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</si>
  <si>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</si>
  <si>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</si>
  <si>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</si>
  <si>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</si>
  <si>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</si>
  <si>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</si>
  <si>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</si>
  <si>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</si>
  <si>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</si>
  <si>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</si>
  <si>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</si>
  <si>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</si>
  <si>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</si>
  <si>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</si>
  <si>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</si>
  <si>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</si>
  <si>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</si>
  <si>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</si>
  <si>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</si>
  <si>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</si>
  <si>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</si>
  <si>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</si>
  <si>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</si>
  <si>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</si>
  <si>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</si>
  <si>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</si>
  <si>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</si>
  <si>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</si>
  <si>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</si>
  <si>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</si>
  <si>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</si>
  <si>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</si>
  <si>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</si>
  <si>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</si>
  <si>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</si>
  <si>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</si>
  <si>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</si>
  <si>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</si>
  <si>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</si>
  <si>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</si>
  <si>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</si>
  <si>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</si>
  <si>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</si>
  <si>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</si>
  <si>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</si>
  <si>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</si>
  <si>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</si>
  <si>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</si>
  <si>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</si>
  <si>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</si>
  <si>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</si>
  <si>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</si>
  <si>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</si>
  <si>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</si>
  <si>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</si>
  <si>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</si>
  <si>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</si>
  <si>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</si>
  <si>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</si>
  <si>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</si>
  <si>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</si>
  <si>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</si>
  <si>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</si>
  <si>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</si>
  <si>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</si>
  <si>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</si>
  <si>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</si>
  <si>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</si>
  <si>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</si>
  <si>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</si>
  <si>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</si>
  <si>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</si>
  <si>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</si>
  <si>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</si>
  <si>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</si>
  <si>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</si>
  <si>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</si>
  <si>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</si>
  <si>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</si>
  <si>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</si>
  <si>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</si>
  <si>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</si>
  <si>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</si>
  <si>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</si>
  <si>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</si>
  <si>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</si>
  <si>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</si>
  <si>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</si>
  <si>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</si>
  <si>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</si>
  <si>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</si>
  <si>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</si>
  <si>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</si>
  <si>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</si>
  <si>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</si>
  <si>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</si>
  <si>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</si>
  <si>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</si>
  <si>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</si>
  <si>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</si>
  <si>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</si>
  <si>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</si>
  <si>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</si>
  <si>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</si>
  <si>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</si>
  <si>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</si>
  <si>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</si>
  <si>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</si>
  <si>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</si>
  <si>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</si>
  <si>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</si>
  <si>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</si>
  <si>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</si>
  <si>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</si>
  <si>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</si>
  <si>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</si>
  <si>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</si>
  <si>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</si>
  <si>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</si>
  <si>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</si>
  <si>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</si>
  <si>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</si>
  <si>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</si>
  <si>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</si>
  <si>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</si>
  <si>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</si>
  <si>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</si>
  <si>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</si>
  <si>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</si>
  <si>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</si>
  <si>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</si>
  <si>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</si>
  <si>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</si>
  <si>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</si>
  <si>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</si>
  <si>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</si>
  <si>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</si>
  <si>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</si>
  <si>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</si>
  <si>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</si>
  <si>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</si>
  <si>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</si>
  <si>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</si>
  <si>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</si>
  <si>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</si>
  <si>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</si>
  <si>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</si>
  <si>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</si>
  <si>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</si>
  <si>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</si>
  <si>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</si>
  <si>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</si>
  <si>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</si>
  <si>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</si>
  <si>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</si>
  <si>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</si>
  <si>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</si>
  <si>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</si>
  <si>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</si>
  <si>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</si>
  <si>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</si>
  <si>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</si>
  <si>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</si>
  <si>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</si>
  <si>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</si>
  <si>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</si>
  <si>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</si>
  <si>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</si>
  <si>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</si>
  <si>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</si>
  <si>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</si>
  <si>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</si>
  <si>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</si>
  <si>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</si>
  <si>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</si>
  <si>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</si>
  <si>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</si>
  <si>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</si>
  <si>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</si>
  <si>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</si>
  <si>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</si>
  <si>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</si>
  <si>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</si>
  <si>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</si>
  <si>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</si>
  <si>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</si>
  <si>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</si>
  <si>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</si>
  <si>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</si>
  <si>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</si>
  <si>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</si>
  <si>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</si>
  <si>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</si>
  <si>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</si>
  <si>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</si>
  <si>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</si>
  <si>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</si>
  <si>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</si>
  <si>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</si>
  <si>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</si>
  <si>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</si>
  <si>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</si>
  <si>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</si>
  <si>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</si>
  <si>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</si>
  <si>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</si>
  <si>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</si>
  <si>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</si>
  <si>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</si>
  <si>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</si>
  <si>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</si>
  <si>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</si>
  <si>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</si>
  <si>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</si>
  <si>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</si>
  <si>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</si>
  <si>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</si>
  <si>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</si>
  <si>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</si>
  <si>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</si>
  <si>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</si>
  <si>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</si>
  <si>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</si>
  <si>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</si>
  <si>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</si>
  <si>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</si>
  <si>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</si>
  <si>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</si>
  <si>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</si>
  <si>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</si>
  <si>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</si>
  <si>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</si>
  <si>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</si>
  <si>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</si>
  <si>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</si>
  <si>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</si>
  <si>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</si>
  <si>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</si>
  <si>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</si>
  <si>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</si>
  <si>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</si>
  <si>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</si>
  <si>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</si>
  <si>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</si>
  <si>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</si>
  <si>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</si>
  <si>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</si>
  <si>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</si>
  <si>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</si>
  <si>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</si>
  <si>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</si>
  <si>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</si>
  <si>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</si>
  <si>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</si>
  <si>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</si>
  <si>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</si>
  <si>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</si>
  <si>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</si>
  <si>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</si>
  <si>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</si>
  <si>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</si>
  <si>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</si>
  <si>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</si>
  <si>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</si>
  <si>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</si>
  <si>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</si>
  <si>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</si>
  <si>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</si>
  <si>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</si>
  <si>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</si>
  <si>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</si>
  <si>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</si>
  <si>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</si>
  <si>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</si>
  <si>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</si>
  <si>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</si>
  <si>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</si>
  <si>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</si>
  <si>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</si>
  <si>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</si>
  <si>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</si>
  <si>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</si>
  <si>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</si>
  <si>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</si>
  <si>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</si>
  <si>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</si>
  <si>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</si>
  <si>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</si>
  <si>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</si>
  <si>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</si>
  <si>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</si>
  <si>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</si>
  <si>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</si>
  <si>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</si>
  <si>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</si>
  <si>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</si>
  <si>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</si>
  <si>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</si>
  <si>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</si>
  <si>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</si>
  <si>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</si>
  <si>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</si>
  <si>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</si>
  <si>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</si>
  <si>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</si>
  <si>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</si>
  <si>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</si>
  <si>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</si>
  <si>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</si>
  <si>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</si>
  <si>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</si>
  <si>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</si>
  <si>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</si>
  <si>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</si>
  <si>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</si>
  <si>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</si>
  <si>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</si>
  <si>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</si>
  <si>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</si>
  <si>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</si>
  <si>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</si>
  <si>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</si>
  <si>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</si>
  <si>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</si>
  <si>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</si>
  <si>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</si>
  <si>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</si>
  <si>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</si>
  <si>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</si>
  <si>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</si>
  <si>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</si>
  <si>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</si>
  <si>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</si>
  <si>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</si>
  <si>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</si>
  <si>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</si>
  <si>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</si>
  <si>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</si>
  <si>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</si>
  <si>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</si>
  <si>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</si>
  <si>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</si>
  <si>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</si>
  <si>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</si>
  <si>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</si>
  <si>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</si>
  <si>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</si>
  <si>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</si>
  <si>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</si>
  <si>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</si>
  <si>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</si>
  <si>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</si>
  <si>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</si>
  <si>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</si>
  <si>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</si>
  <si>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</si>
  <si>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</si>
  <si>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</si>
  <si>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</si>
  <si>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</si>
  <si>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</si>
  <si>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</si>
  <si>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</si>
  <si>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</si>
  <si>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</si>
  <si>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</si>
  <si>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</si>
  <si>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</si>
  <si>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</si>
  <si>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</si>
  <si>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</si>
  <si>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</si>
  <si>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</si>
  <si>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</si>
  <si>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</si>
  <si>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</si>
  <si>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</si>
  <si>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</si>
  <si>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</si>
  <si>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</si>
  <si>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</si>
  <si>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</si>
  <si>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</si>
  <si>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</si>
  <si>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</si>
  <si>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</si>
  <si>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</si>
  <si>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</si>
  <si>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</si>
  <si>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</si>
  <si>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</si>
  <si>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</si>
  <si>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</si>
  <si>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</si>
  <si>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</si>
  <si>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</si>
  <si>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</si>
  <si>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</si>
  <si>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</si>
  <si>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</si>
  <si>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</si>
  <si>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</si>
  <si>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</si>
  <si>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</si>
  <si>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</si>
  <si>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</si>
  <si>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</si>
  <si>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</si>
  <si>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</si>
  <si>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</si>
  <si>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</si>
  <si>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</si>
  <si>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</si>
  <si>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</si>
  <si>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</si>
  <si>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</si>
  <si>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</si>
  <si>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</si>
  <si>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</si>
  <si>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</si>
  <si>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</si>
  <si>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</si>
  <si>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</si>
  <si>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</si>
  <si>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</si>
  <si>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</si>
  <si>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</si>
  <si>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</si>
  <si>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</si>
  <si>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</si>
  <si>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</si>
  <si>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</si>
  <si>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</si>
  <si>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</si>
  <si>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</si>
  <si>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</si>
  <si>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</si>
  <si>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</si>
  <si>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</si>
  <si>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</si>
  <si>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</si>
  <si>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</si>
  <si>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</si>
  <si>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</si>
  <si>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</si>
  <si>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</si>
  <si>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</si>
  <si>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</si>
  <si>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</si>
  <si>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</si>
  <si>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</si>
  <si>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</si>
  <si>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</si>
  <si>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</si>
  <si>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</si>
  <si>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</si>
  <si>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</si>
  <si>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</si>
  <si>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</si>
  <si>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</si>
  <si>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</si>
  <si>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</si>
  <si>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</si>
  <si>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</si>
  <si>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</si>
  <si>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</si>
  <si>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</si>
  <si>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</si>
  <si>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</si>
  <si>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</si>
  <si>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</si>
  <si>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</si>
  <si>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</si>
  <si>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</si>
  <si>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</si>
  <si>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</si>
  <si>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</si>
  <si>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</si>
  <si>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</si>
  <si>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</si>
  <si>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</si>
  <si>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</si>
  <si>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</si>
  <si>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</si>
  <si>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</si>
  <si>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</si>
  <si>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</si>
  <si>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</si>
  <si>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</si>
  <si>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</si>
  <si>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</si>
  <si>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</si>
  <si>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</si>
  <si>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</si>
  <si>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</si>
  <si>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</si>
  <si>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</si>
  <si>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</si>
  <si>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</si>
  <si>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</si>
  <si>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</si>
  <si>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</si>
  <si>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</si>
  <si>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</si>
  <si>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</si>
  <si>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</si>
  <si>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</si>
  <si>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</si>
  <si>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</si>
  <si>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</si>
  <si>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</si>
  <si>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</si>
  <si>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</si>
  <si>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</si>
  <si>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</si>
  <si>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</si>
  <si>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</si>
  <si>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</si>
  <si>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</si>
  <si>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</si>
  <si>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</si>
  <si>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</si>
  <si>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</si>
  <si>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</si>
  <si>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</si>
  <si>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</si>
  <si>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</si>
  <si>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</si>
  <si>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</si>
  <si>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</si>
  <si>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</si>
  <si>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</si>
  <si>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</si>
  <si>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</si>
  <si>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</si>
  <si>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</si>
  <si>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</si>
  <si>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</si>
  <si>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</si>
  <si>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</si>
  <si>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</si>
  <si>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</si>
  <si>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</si>
  <si>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</si>
  <si>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</si>
  <si>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</si>
  <si>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</si>
  <si>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</si>
  <si>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</si>
  <si>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</si>
  <si>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</si>
  <si>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</si>
  <si>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</si>
  <si>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</si>
  <si>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</si>
  <si>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</si>
  <si>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</si>
  <si>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</si>
  <si>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</si>
  <si>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</si>
  <si>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</si>
  <si>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</si>
  <si>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</si>
  <si>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</si>
  <si>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</si>
  <si>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</si>
  <si>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</si>
  <si>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</si>
  <si>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</si>
  <si>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</si>
  <si>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</si>
  <si>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</si>
  <si>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</si>
  <si>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</si>
  <si>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</si>
  <si>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</si>
  <si>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</si>
  <si>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</si>
  <si>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</si>
  <si>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</si>
  <si>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</si>
  <si>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</si>
  <si>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</si>
  <si>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</si>
  <si>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</si>
  <si>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</si>
  <si>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</si>
  <si>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</si>
  <si>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</si>
  <si>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</si>
  <si>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</si>
  <si>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</si>
  <si>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</si>
  <si>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</si>
  <si>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</si>
  <si>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</si>
  <si>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</si>
  <si>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</si>
  <si>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</si>
  <si>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</si>
  <si>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</si>
  <si>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</si>
  <si>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</si>
  <si>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</si>
  <si>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</si>
  <si>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</si>
  <si>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</si>
  <si>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</si>
  <si>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</si>
  <si>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</si>
  <si>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</si>
  <si>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</si>
  <si>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</si>
  <si>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</si>
  <si>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</si>
  <si>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</si>
  <si>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</si>
  <si>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</si>
  <si>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</si>
  <si>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</si>
  <si>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</si>
  <si>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</si>
  <si>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</si>
  <si>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</si>
  <si>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</si>
  <si>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</si>
  <si>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</si>
  <si>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</si>
  <si>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</si>
  <si>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</si>
  <si>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</si>
  <si>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</si>
  <si>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</si>
  <si>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</si>
  <si>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</si>
  <si>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</si>
  <si>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</si>
  <si>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</si>
  <si>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</si>
  <si>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</si>
  <si>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</si>
  <si>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</si>
  <si>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</si>
  <si>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</si>
  <si>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</si>
  <si>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</si>
  <si>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</si>
  <si>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</si>
  <si>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</si>
  <si>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</si>
  <si>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</si>
  <si>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</si>
  <si>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</si>
  <si>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</si>
  <si>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</si>
  <si>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</si>
  <si>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</si>
  <si>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</si>
  <si>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</si>
  <si>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</si>
  <si>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</si>
  <si>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</si>
  <si>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</si>
  <si>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</si>
  <si>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</si>
  <si>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</si>
  <si>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</si>
  <si>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</si>
  <si>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</si>
  <si>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</si>
  <si>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</si>
  <si>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</si>
  <si>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</si>
  <si>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</si>
  <si>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</si>
  <si>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</si>
  <si>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</si>
  <si>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</si>
  <si>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</si>
  <si>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</si>
  <si>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</si>
  <si>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</si>
  <si>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</si>
  <si>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</si>
  <si>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</si>
  <si>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</si>
  <si>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</si>
  <si>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</si>
  <si>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</si>
  <si>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</si>
  <si>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</si>
  <si>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</si>
  <si>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</si>
  <si>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</si>
  <si>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</si>
  <si>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</si>
  <si>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</si>
  <si>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</si>
  <si>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</si>
  <si>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</si>
  <si>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</si>
  <si>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</si>
  <si>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</si>
  <si>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</si>
  <si>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</si>
  <si>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</si>
  <si>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</si>
  <si>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</si>
  <si>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</si>
  <si>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</si>
  <si>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</si>
  <si>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</si>
  <si>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</si>
  <si>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</si>
  <si>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</si>
  <si>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</si>
  <si>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</si>
  <si>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</si>
  <si>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</si>
  <si>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</si>
  <si>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</si>
  <si>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</si>
  <si>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</si>
  <si>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</si>
  <si>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</si>
  <si>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</si>
  <si>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</si>
  <si>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</si>
  <si>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</si>
  <si>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</si>
  <si>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</si>
  <si>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</si>
  <si>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</si>
  <si>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</si>
  <si>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</si>
  <si>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</si>
  <si>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</si>
  <si>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</si>
  <si>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</si>
  <si>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</si>
  <si>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</si>
  <si>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</si>
  <si>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</si>
  <si>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</si>
  <si>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</si>
  <si>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</si>
  <si>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</si>
  <si>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</si>
  <si>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</si>
  <si>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</si>
  <si>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</si>
  <si>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</si>
  <si>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</si>
  <si>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</si>
  <si>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</si>
  <si>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</si>
  <si>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</si>
  <si>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</si>
  <si>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</si>
  <si>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</si>
  <si>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</si>
  <si>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</si>
  <si>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</si>
  <si>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</si>
  <si>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</si>
  <si>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</si>
  <si>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</si>
  <si>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</si>
  <si>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</si>
  <si>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</si>
  <si>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</si>
  <si>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</si>
  <si>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</si>
  <si>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</si>
  <si>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</si>
  <si>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</si>
  <si>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</si>
  <si>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</si>
  <si>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</si>
  <si>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</si>
  <si>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</si>
  <si>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</si>
  <si>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</si>
  <si>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</si>
  <si>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</si>
  <si>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</si>
  <si>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</si>
  <si>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</si>
  <si>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</si>
  <si>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</si>
  <si>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</si>
  <si>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</si>
  <si>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</si>
  <si>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</si>
  <si>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</si>
  <si>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</si>
  <si>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</si>
  <si>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</si>
  <si>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</si>
  <si>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</si>
  <si>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</si>
  <si>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</si>
  <si>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</si>
  <si>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</si>
  <si>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</si>
  <si>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</si>
  <si>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</si>
  <si>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</si>
  <si>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</si>
  <si>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</si>
  <si>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</si>
  <si>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</si>
  <si>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</si>
  <si>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</si>
  <si>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</si>
  <si>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</si>
  <si>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</si>
  <si>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</si>
  <si>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</si>
  <si>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</si>
  <si>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</si>
  <si>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</si>
  <si>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</si>
  <si>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</si>
  <si>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</si>
  <si>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</si>
  <si>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</si>
  <si>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</si>
  <si>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</si>
  <si>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</si>
  <si>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</si>
  <si>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</si>
  <si>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</si>
  <si>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</si>
  <si>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</si>
  <si>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</si>
  <si>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</si>
  <si>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</si>
  <si>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</si>
  <si>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</si>
  <si>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</si>
  <si>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</si>
  <si>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</si>
  <si>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</si>
  <si>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</si>
  <si>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</si>
  <si>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</si>
  <si>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</si>
  <si>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</si>
  <si>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</si>
  <si>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</si>
  <si>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</si>
  <si>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</si>
  <si>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</si>
  <si>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</si>
  <si>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</si>
  <si>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</si>
  <si>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</si>
  <si>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</si>
  <si>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</si>
  <si>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</si>
  <si>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</si>
  <si>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</si>
  <si>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</si>
  <si>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</si>
  <si>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</si>
  <si>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</si>
  <si>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</si>
  <si>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</si>
  <si>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</si>
  <si>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</si>
  <si>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</si>
  <si>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</si>
  <si>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</si>
  <si>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</si>
  <si>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</si>
  <si>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</si>
  <si>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</si>
  <si>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</si>
  <si>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</si>
  <si>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</si>
  <si>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</si>
  <si>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</si>
  <si>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</si>
  <si>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</si>
  <si>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</si>
  <si>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</si>
  <si>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</si>
  <si>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</si>
  <si>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</si>
  <si>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</si>
  <si>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</si>
  <si>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</si>
  <si>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</si>
  <si>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</si>
  <si>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</si>
  <si>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</si>
  <si>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</si>
  <si>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</si>
  <si>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</si>
  <si>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</si>
  <si>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</si>
  <si>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</si>
  <si>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</si>
  <si>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</si>
  <si>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</si>
  <si>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</si>
  <si>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</si>
  <si>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</si>
  <si>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</si>
  <si>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</si>
  <si>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</si>
  <si>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</si>
  <si>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</si>
  <si>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</si>
  <si>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</si>
  <si>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</si>
  <si>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</si>
  <si>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</si>
  <si>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</si>
  <si>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</si>
  <si>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</si>
  <si>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</si>
  <si>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</si>
  <si>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</si>
  <si>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</si>
  <si>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</si>
  <si>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</si>
  <si>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</si>
  <si>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</si>
  <si>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</si>
  <si>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</si>
  <si>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</si>
  <si>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</si>
  <si>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</si>
  <si>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</si>
  <si>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</si>
  <si>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</si>
  <si>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</si>
  <si>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</si>
  <si>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</si>
  <si>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</si>
  <si>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</si>
  <si>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</si>
  <si>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</si>
  <si>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</si>
  <si>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</si>
  <si>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</si>
  <si>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</si>
  <si>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</si>
  <si>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</si>
  <si>
    <t>Quảng Tây</t>
  </si>
  <si>
    <t>https://hq.smm.cn/meng</t>
  </si>
  <si>
    <t>Quảng Tây (USD) /1.17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</si>
</sst>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3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168" fontId="20" fillId="0" borderId="0" xfId="1" applyNumberFormat="1" applyFont="1" applyAlignment="1">
      <alignment horizontal="left"/>
    </xf>
    <xf numFmtId="164" fontId="30" fillId="0" borderId="3" xfId="1" applyFont="1" applyBorder="1" applyAlignment="1">
      <alignment vertical="center"/>
    </xf>
    <xf numFmtId="169" fontId="30" fillId="0" borderId="0" xfId="0" applyNumberFormat="1" applyFont="1" applyAlignment="1">
      <alignment vertical="center"/>
    </xf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25" fillId="0" borderId="0" xfId="2" applyAlignment="1" applyProtection="1">
      <alignment horizontal="center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Cu!$A$760:$A$1234</c:f>
              <c:numCache>
                <c:formatCode>yyyy\.mm\.dd</c:formatCode>
                <c:ptCount val="256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  <c:pt idx="213">
                  <c:v>43410</c:v>
                </c:pt>
                <c:pt idx="214">
                  <c:v>43411</c:v>
                </c:pt>
                <c:pt idx="215">
                  <c:v>43412</c:v>
                </c:pt>
                <c:pt idx="216">
                  <c:v>43413</c:v>
                </c:pt>
                <c:pt idx="217">
                  <c:v>43416</c:v>
                </c:pt>
                <c:pt idx="218">
                  <c:v>43417</c:v>
                </c:pt>
                <c:pt idx="219">
                  <c:v>43418</c:v>
                </c:pt>
                <c:pt idx="220">
                  <c:v>43419</c:v>
                </c:pt>
                <c:pt idx="221">
                  <c:v>43423</c:v>
                </c:pt>
                <c:pt idx="222">
                  <c:v>43424</c:v>
                </c:pt>
                <c:pt idx="223">
                  <c:v>43425</c:v>
                </c:pt>
                <c:pt idx="224">
                  <c:v>43426</c:v>
                </c:pt>
                <c:pt idx="225">
                  <c:v>43427</c:v>
                </c:pt>
                <c:pt idx="226">
                  <c:v>43430</c:v>
                </c:pt>
                <c:pt idx="227">
                  <c:v>43431</c:v>
                </c:pt>
                <c:pt idx="228">
                  <c:v>43432</c:v>
                </c:pt>
                <c:pt idx="229">
                  <c:v>43433</c:v>
                </c:pt>
                <c:pt idx="230">
                  <c:v>43434</c:v>
                </c:pt>
                <c:pt idx="231">
                  <c:v>43437</c:v>
                </c:pt>
                <c:pt idx="232">
                  <c:v>43438</c:v>
                </c:pt>
                <c:pt idx="233">
                  <c:v>43439</c:v>
                </c:pt>
                <c:pt idx="234">
                  <c:v>43440</c:v>
                </c:pt>
                <c:pt idx="235">
                  <c:v>43445</c:v>
                </c:pt>
                <c:pt idx="236">
                  <c:v>43446</c:v>
                </c:pt>
                <c:pt idx="237">
                  <c:v>43447</c:v>
                </c:pt>
                <c:pt idx="238">
                  <c:v>43448</c:v>
                </c:pt>
                <c:pt idx="239">
                  <c:v>43451</c:v>
                </c:pt>
                <c:pt idx="240">
                  <c:v>43452</c:v>
                </c:pt>
                <c:pt idx="241">
                  <c:v>43453</c:v>
                </c:pt>
                <c:pt idx="242">
                  <c:v>43454</c:v>
                </c:pt>
                <c:pt idx="243">
                  <c:v>43459</c:v>
                </c:pt>
                <c:pt idx="244">
                  <c:v>43460</c:v>
                </c:pt>
                <c:pt idx="245">
                  <c:v>43461</c:v>
                </c:pt>
                <c:pt idx="246">
                  <c:v>43462</c:v>
                </c:pt>
                <c:pt idx="247">
                  <c:v>43467</c:v>
                </c:pt>
                <c:pt idx="248">
                  <c:v>43468</c:v>
                </c:pt>
                <c:pt idx="249">
                  <c:v>43469</c:v>
                </c:pt>
                <c:pt idx="250">
                  <c:v>43472</c:v>
                </c:pt>
                <c:pt idx="251">
                  <c:v>43473</c:v>
                </c:pt>
                <c:pt idx="252">
                  <c:v>43474</c:v>
                </c:pt>
                <c:pt idx="253">
                  <c:v>43475</c:v>
                </c:pt>
                <c:pt idx="254">
                  <c:v>43480</c:v>
                </c:pt>
                <c:pt idx="255">
                  <c:v>43481</c:v>
                </c:pt>
              </c:numCache>
            </c:numRef>
          </c:cat>
          <c:val>
            <c:numRef>
              <c:f>Cu!$B$979:$B$1234</c:f>
              <c:numCache>
                <c:formatCode>_(* #,##0.00_);_(* \(#,##0.00\);_(* "-"??_);_(@_)</c:formatCode>
                <c:ptCount val="256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  <c:pt idx="213">
                  <c:v>7176.6595753918291</c:v>
                </c:pt>
                <c:pt idx="214">
                  <c:v>7149.4314988231181</c:v>
                </c:pt>
                <c:pt idx="215">
                  <c:v>7169.0132089682775</c:v>
                </c:pt>
                <c:pt idx="216">
                  <c:v>7138.2611662182762</c:v>
                </c:pt>
                <c:pt idx="217">
                  <c:v>7070.60674500185</c:v>
                </c:pt>
                <c:pt idx="218">
                  <c:v>7012.873575768198</c:v>
                </c:pt>
                <c:pt idx="219">
                  <c:v>7043.3282749604787</c:v>
                </c:pt>
                <c:pt idx="220">
                  <c:v>7073.8308589569442</c:v>
                </c:pt>
                <c:pt idx="221">
                  <c:v>7194.3849830673589</c:v>
                </c:pt>
                <c:pt idx="222">
                  <c:v>7191.0066976618045</c:v>
                </c:pt>
                <c:pt idx="223">
                  <c:v>7107.574884792627</c:v>
                </c:pt>
                <c:pt idx="224">
                  <c:v>7161.4113051191734</c:v>
                </c:pt>
                <c:pt idx="225">
                  <c:v>7161.4113051191734</c:v>
                </c:pt>
                <c:pt idx="226">
                  <c:v>7120.988365810611</c:v>
                </c:pt>
                <c:pt idx="227">
                  <c:v>7096.4437205393988</c:v>
                </c:pt>
                <c:pt idx="228">
                  <c:v>7064.2399827350555</c:v>
                </c:pt>
                <c:pt idx="229">
                  <c:v>7166.2373938648825</c:v>
                </c:pt>
                <c:pt idx="230">
                  <c:v>7168.967879159306</c:v>
                </c:pt>
                <c:pt idx="231">
                  <c:v>7282.1604055747739</c:v>
                </c:pt>
                <c:pt idx="232">
                  <c:v>7272.6002819987862</c:v>
                </c:pt>
                <c:pt idx="233">
                  <c:v>7228.2717421303105</c:v>
                </c:pt>
                <c:pt idx="234">
                  <c:v>7197.3398281972377</c:v>
                </c:pt>
                <c:pt idx="235">
                  <c:v>7136.7899205142194</c:v>
                </c:pt>
                <c:pt idx="236">
                  <c:v>7143.3641753984912</c:v>
                </c:pt>
                <c:pt idx="237">
                  <c:v>7166.3737406243035</c:v>
                </c:pt>
                <c:pt idx="238">
                  <c:v>7145.8382108938404</c:v>
                </c:pt>
                <c:pt idx="239">
                  <c:v>7124.0247043493509</c:v>
                </c:pt>
                <c:pt idx="240">
                  <c:v>7105.9927737140588</c:v>
                </c:pt>
                <c:pt idx="241">
                  <c:v>7013.1401959844397</c:v>
                </c:pt>
                <c:pt idx="242">
                  <c:v>6995.8025184889066</c:v>
                </c:pt>
                <c:pt idx="243">
                  <c:v>6945.7644185914914</c:v>
                </c:pt>
                <c:pt idx="244">
                  <c:v>6941.0319410319416</c:v>
                </c:pt>
                <c:pt idx="245">
                  <c:v>7038.5947191673267</c:v>
                </c:pt>
                <c:pt idx="246">
                  <c:v>7017.4008839422022</c:v>
                </c:pt>
                <c:pt idx="247">
                  <c:v>6988.0184600154316</c:v>
                </c:pt>
                <c:pt idx="248">
                  <c:v>6893.7733519300382</c:v>
                </c:pt>
                <c:pt idx="249">
                  <c:v>6808.6566790857023</c:v>
                </c:pt>
                <c:pt idx="250">
                  <c:v>6920.042190404597</c:v>
                </c:pt>
                <c:pt idx="251">
                  <c:v>6933.6901958263452</c:v>
                </c:pt>
                <c:pt idx="252">
                  <c:v>6948.9944971318255</c:v>
                </c:pt>
                <c:pt idx="253">
                  <c:v>6960.7884880509646</c:v>
                </c:pt>
                <c:pt idx="254">
                  <c:v>6957.3537654301817</c:v>
                </c:pt>
                <c:pt idx="255">
                  <c:v>6973.4306827997079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332800"/>
        <c:axId val="176334336"/>
      </c:areaChart>
      <c:dateAx>
        <c:axId val="1763328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6334336"/>
        <c:crosses val="autoZero"/>
        <c:auto val="1"/>
        <c:lblOffset val="100"/>
        <c:baseTimeUnit val="days"/>
      </c:dateAx>
      <c:valAx>
        <c:axId val="17633433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63328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Ni!$A$6:$A$777</c:f>
              <c:numCache>
                <c:formatCode>yyyy\.mm\.dd</c:formatCode>
                <c:ptCount val="223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  <c:pt idx="180">
                  <c:v>43410</c:v>
                </c:pt>
                <c:pt idx="181">
                  <c:v>43411</c:v>
                </c:pt>
                <c:pt idx="182">
                  <c:v>43412</c:v>
                </c:pt>
                <c:pt idx="183">
                  <c:v>43413</c:v>
                </c:pt>
                <c:pt idx="184">
                  <c:v>43416</c:v>
                </c:pt>
                <c:pt idx="185">
                  <c:v>43417</c:v>
                </c:pt>
                <c:pt idx="186">
                  <c:v>43418</c:v>
                </c:pt>
                <c:pt idx="187">
                  <c:v>43419</c:v>
                </c:pt>
                <c:pt idx="188">
                  <c:v>43423</c:v>
                </c:pt>
                <c:pt idx="189">
                  <c:v>43424</c:v>
                </c:pt>
                <c:pt idx="190">
                  <c:v>43425</c:v>
                </c:pt>
                <c:pt idx="191">
                  <c:v>43426</c:v>
                </c:pt>
                <c:pt idx="192">
                  <c:v>43427</c:v>
                </c:pt>
                <c:pt idx="193">
                  <c:v>43430</c:v>
                </c:pt>
                <c:pt idx="194">
                  <c:v>43431</c:v>
                </c:pt>
                <c:pt idx="195">
                  <c:v>43432</c:v>
                </c:pt>
                <c:pt idx="196">
                  <c:v>43433</c:v>
                </c:pt>
                <c:pt idx="197">
                  <c:v>43434</c:v>
                </c:pt>
                <c:pt idx="198">
                  <c:v>43437</c:v>
                </c:pt>
                <c:pt idx="199">
                  <c:v>43438</c:v>
                </c:pt>
                <c:pt idx="200">
                  <c:v>43439</c:v>
                </c:pt>
                <c:pt idx="201">
                  <c:v>43440</c:v>
                </c:pt>
                <c:pt idx="202">
                  <c:v>43445</c:v>
                </c:pt>
                <c:pt idx="203">
                  <c:v>43446</c:v>
                </c:pt>
                <c:pt idx="204">
                  <c:v>43447</c:v>
                </c:pt>
                <c:pt idx="205">
                  <c:v>43448</c:v>
                </c:pt>
                <c:pt idx="206">
                  <c:v>43451</c:v>
                </c:pt>
                <c:pt idx="207">
                  <c:v>43452</c:v>
                </c:pt>
                <c:pt idx="208">
                  <c:v>43453</c:v>
                </c:pt>
                <c:pt idx="209">
                  <c:v>43454</c:v>
                </c:pt>
                <c:pt idx="210">
                  <c:v>43459</c:v>
                </c:pt>
                <c:pt idx="211">
                  <c:v>43460</c:v>
                </c:pt>
                <c:pt idx="212">
                  <c:v>43461</c:v>
                </c:pt>
                <c:pt idx="213">
                  <c:v>43462</c:v>
                </c:pt>
                <c:pt idx="214">
                  <c:v>43467</c:v>
                </c:pt>
                <c:pt idx="215">
                  <c:v>43468</c:v>
                </c:pt>
                <c:pt idx="216">
                  <c:v>43469</c:v>
                </c:pt>
                <c:pt idx="217">
                  <c:v>43472</c:v>
                </c:pt>
                <c:pt idx="218">
                  <c:v>43473</c:v>
                </c:pt>
                <c:pt idx="219">
                  <c:v>43474</c:v>
                </c:pt>
                <c:pt idx="220">
                  <c:v>43475</c:v>
                </c:pt>
                <c:pt idx="221">
                  <c:v>43480</c:v>
                </c:pt>
                <c:pt idx="222">
                  <c:v>43481</c:v>
                </c:pt>
              </c:numCache>
            </c:numRef>
          </c:cat>
          <c:val>
            <c:numRef>
              <c:f>Ni!$B$6:$B$777</c:f>
              <c:numCache>
                <c:formatCode>_(* #,##0.00_);_(* \(#,##0.00\);_(* "-"??_);_(@_)</c:formatCode>
                <c:ptCount val="223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  <c:pt idx="180">
                  <c:v>14761.429253679502</c:v>
                </c:pt>
                <c:pt idx="181">
                  <c:v>14763.402655461845</c:v>
                </c:pt>
                <c:pt idx="182">
                  <c:v>14608.364282440905</c:v>
                </c:pt>
                <c:pt idx="183">
                  <c:v>14545.700561531696</c:v>
                </c:pt>
                <c:pt idx="184">
                  <c:v>14473.727773003582</c:v>
                </c:pt>
                <c:pt idx="185">
                  <c:v>14420.100075135366</c:v>
                </c:pt>
                <c:pt idx="186">
                  <c:v>14383.248051278655</c:v>
                </c:pt>
                <c:pt idx="187">
                  <c:v>14382.447796107735</c:v>
                </c:pt>
                <c:pt idx="188">
                  <c:v>14442.97176158726</c:v>
                </c:pt>
                <c:pt idx="189">
                  <c:v>14295.461659744933</c:v>
                </c:pt>
                <c:pt idx="190">
                  <c:v>14058.899769585254</c:v>
                </c:pt>
                <c:pt idx="191">
                  <c:v>13955.867098537667</c:v>
                </c:pt>
                <c:pt idx="192">
                  <c:v>13666.925750741857</c:v>
                </c:pt>
                <c:pt idx="193">
                  <c:v>13590.029895904621</c:v>
                </c:pt>
                <c:pt idx="194">
                  <c:v>13600.797702432819</c:v>
                </c:pt>
                <c:pt idx="195">
                  <c:v>13603.337889360479</c:v>
                </c:pt>
                <c:pt idx="196">
                  <c:v>13627.669863031468</c:v>
                </c:pt>
                <c:pt idx="197">
                  <c:v>13756.804499080716</c:v>
                </c:pt>
                <c:pt idx="198">
                  <c:v>13942.717044519841</c:v>
                </c:pt>
                <c:pt idx="199">
                  <c:v>13928.964825817004</c:v>
                </c:pt>
                <c:pt idx="200">
                  <c:v>13810.379798221698</c:v>
                </c:pt>
                <c:pt idx="201">
                  <c:v>13752.971546079018</c:v>
                </c:pt>
                <c:pt idx="202">
                  <c:v>13406.804260657795</c:v>
                </c:pt>
                <c:pt idx="203">
                  <c:v>13394.351078023616</c:v>
                </c:pt>
                <c:pt idx="204">
                  <c:v>13392.811638604497</c:v>
                </c:pt>
                <c:pt idx="205">
                  <c:v>13418.441613964776</c:v>
                </c:pt>
                <c:pt idx="206">
                  <c:v>13534.197492749148</c:v>
                </c:pt>
                <c:pt idx="207">
                  <c:v>13511.241613899512</c:v>
                </c:pt>
                <c:pt idx="208">
                  <c:v>13392.947930193979</c:v>
                </c:pt>
                <c:pt idx="209">
                  <c:v>13361.548288418253</c:v>
                </c:pt>
                <c:pt idx="210">
                  <c:v>13152.9881877025</c:v>
                </c:pt>
                <c:pt idx="211">
                  <c:v>13011.273305390952</c:v>
                </c:pt>
                <c:pt idx="212">
                  <c:v>13050.425363322101</c:v>
                </c:pt>
                <c:pt idx="213">
                  <c:v>13010.278702290188</c:v>
                </c:pt>
                <c:pt idx="214">
                  <c:v>12873.240256809679</c:v>
                </c:pt>
                <c:pt idx="215">
                  <c:v>12893.101427185609</c:v>
                </c:pt>
                <c:pt idx="216">
                  <c:v>13007.995299961898</c:v>
                </c:pt>
                <c:pt idx="217">
                  <c:v>13301.049515451363</c:v>
                </c:pt>
                <c:pt idx="218">
                  <c:v>13316.600534124977</c:v>
                </c:pt>
                <c:pt idx="219">
                  <c:v>13425.188864681393</c:v>
                </c:pt>
                <c:pt idx="220">
                  <c:v>13456.154079938218</c:v>
                </c:pt>
                <c:pt idx="221">
                  <c:v>13613.017623718742</c:v>
                </c:pt>
                <c:pt idx="222">
                  <c:v>13779.280509682039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26592"/>
        <c:axId val="206928128"/>
      </c:areaChart>
      <c:dateAx>
        <c:axId val="2069265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28128"/>
        <c:crosses val="autoZero"/>
        <c:auto val="1"/>
        <c:lblOffset val="100"/>
        <c:baseTimeUnit val="days"/>
      </c:dateAx>
      <c:valAx>
        <c:axId val="20692812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265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Coke!$A$6:$A$101</c:f>
              <c:numCache>
                <c:formatCode>yyyy\.mm\.dd</c:formatCode>
                <c:ptCount val="96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  <c:pt idx="53">
                  <c:v>43410</c:v>
                </c:pt>
                <c:pt idx="54">
                  <c:v>43411</c:v>
                </c:pt>
                <c:pt idx="55">
                  <c:v>43412</c:v>
                </c:pt>
                <c:pt idx="56">
                  <c:v>43413</c:v>
                </c:pt>
                <c:pt idx="57">
                  <c:v>43416</c:v>
                </c:pt>
                <c:pt idx="58">
                  <c:v>43417</c:v>
                </c:pt>
                <c:pt idx="59">
                  <c:v>43418</c:v>
                </c:pt>
                <c:pt idx="60">
                  <c:v>43419</c:v>
                </c:pt>
                <c:pt idx="61">
                  <c:v>43423</c:v>
                </c:pt>
                <c:pt idx="62">
                  <c:v>43424</c:v>
                </c:pt>
                <c:pt idx="63">
                  <c:v>43425</c:v>
                </c:pt>
                <c:pt idx="64">
                  <c:v>43426</c:v>
                </c:pt>
                <c:pt idx="65">
                  <c:v>43427</c:v>
                </c:pt>
                <c:pt idx="66">
                  <c:v>43430</c:v>
                </c:pt>
                <c:pt idx="67">
                  <c:v>43431</c:v>
                </c:pt>
                <c:pt idx="68">
                  <c:v>43432</c:v>
                </c:pt>
                <c:pt idx="69">
                  <c:v>43433</c:v>
                </c:pt>
                <c:pt idx="70">
                  <c:v>43434</c:v>
                </c:pt>
                <c:pt idx="71">
                  <c:v>43437</c:v>
                </c:pt>
                <c:pt idx="72">
                  <c:v>43438</c:v>
                </c:pt>
                <c:pt idx="73">
                  <c:v>43439</c:v>
                </c:pt>
                <c:pt idx="74">
                  <c:v>43440</c:v>
                </c:pt>
                <c:pt idx="75">
                  <c:v>43445</c:v>
                </c:pt>
                <c:pt idx="76">
                  <c:v>43446</c:v>
                </c:pt>
                <c:pt idx="77">
                  <c:v>43447</c:v>
                </c:pt>
                <c:pt idx="78">
                  <c:v>43448</c:v>
                </c:pt>
                <c:pt idx="79">
                  <c:v>43451</c:v>
                </c:pt>
                <c:pt idx="80">
                  <c:v>43452</c:v>
                </c:pt>
                <c:pt idx="81">
                  <c:v>43453</c:v>
                </c:pt>
                <c:pt idx="82">
                  <c:v>43454</c:v>
                </c:pt>
                <c:pt idx="83">
                  <c:v>43459</c:v>
                </c:pt>
                <c:pt idx="84">
                  <c:v>43460</c:v>
                </c:pt>
                <c:pt idx="85">
                  <c:v>43461</c:v>
                </c:pt>
                <c:pt idx="86">
                  <c:v>43462</c:v>
                </c:pt>
                <c:pt idx="87">
                  <c:v>43467</c:v>
                </c:pt>
                <c:pt idx="88">
                  <c:v>43468</c:v>
                </c:pt>
                <c:pt idx="89">
                  <c:v>43469</c:v>
                </c:pt>
                <c:pt idx="90">
                  <c:v>43472</c:v>
                </c:pt>
                <c:pt idx="91">
                  <c:v>43473</c:v>
                </c:pt>
                <c:pt idx="92">
                  <c:v>43474</c:v>
                </c:pt>
                <c:pt idx="93">
                  <c:v>43475</c:v>
                </c:pt>
                <c:pt idx="94">
                  <c:v>43480</c:v>
                </c:pt>
                <c:pt idx="95">
                  <c:v>43481</c:v>
                </c:pt>
              </c:numCache>
            </c:numRef>
          </c:cat>
          <c:val>
            <c:numRef>
              <c:f>Coke!$B$6:$B$101</c:f>
              <c:numCache>
                <c:formatCode>0.00</c:formatCode>
                <c:ptCount val="96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  <c:pt idx="53">
                  <c:v>348.55786624987337</c:v>
                </c:pt>
                <c:pt idx="54">
                  <c:v>344.53960001907285</c:v>
                </c:pt>
                <c:pt idx="55">
                  <c:v>335.89841078922751</c:v>
                </c:pt>
                <c:pt idx="56">
                  <c:v>334.45754829014248</c:v>
                </c:pt>
                <c:pt idx="57">
                  <c:v>332.37033742282716</c:v>
                </c:pt>
                <c:pt idx="58">
                  <c:v>330.4950458067139</c:v>
                </c:pt>
                <c:pt idx="59">
                  <c:v>338.48865033589709</c:v>
                </c:pt>
                <c:pt idx="60">
                  <c:v>343.10456334830872</c:v>
                </c:pt>
                <c:pt idx="61">
                  <c:v>345.44610968419863</c:v>
                </c:pt>
                <c:pt idx="62">
                  <c:v>332.28653817580675</c:v>
                </c:pt>
                <c:pt idx="63">
                  <c:v>324.23675115207374</c:v>
                </c:pt>
                <c:pt idx="64">
                  <c:v>327.37054705265376</c:v>
                </c:pt>
                <c:pt idx="65">
                  <c:v>327.37054705265376</c:v>
                </c:pt>
                <c:pt idx="66">
                  <c:v>308.46810503187692</c:v>
                </c:pt>
                <c:pt idx="67">
                  <c:v>298.85064086699782</c:v>
                </c:pt>
                <c:pt idx="68">
                  <c:v>305.44565139198619</c:v>
                </c:pt>
                <c:pt idx="69">
                  <c:v>305.55959925570295</c:v>
                </c:pt>
                <c:pt idx="70">
                  <c:v>306.57197447636901</c:v>
                </c:pt>
                <c:pt idx="71">
                  <c:v>323.5230766784386</c:v>
                </c:pt>
                <c:pt idx="72">
                  <c:v>325.14256362797693</c:v>
                </c:pt>
                <c:pt idx="73">
                  <c:v>290.00702383577368</c:v>
                </c:pt>
                <c:pt idx="74">
                  <c:v>281.84111890559598</c:v>
                </c:pt>
                <c:pt idx="75">
                  <c:v>283.98114799288635</c:v>
                </c:pt>
                <c:pt idx="76">
                  <c:v>286.98041840325311</c:v>
                </c:pt>
                <c:pt idx="77">
                  <c:v>296.7605340524704</c:v>
                </c:pt>
                <c:pt idx="78">
                  <c:v>293.1625932674396</c:v>
                </c:pt>
                <c:pt idx="79">
                  <c:v>293.94755036460805</c:v>
                </c:pt>
                <c:pt idx="80">
                  <c:v>290.08045149069318</c:v>
                </c:pt>
                <c:pt idx="81">
                  <c:v>287.17850388279282</c:v>
                </c:pt>
                <c:pt idx="82">
                  <c:v>287.65349485960598</c:v>
                </c:pt>
                <c:pt idx="83">
                  <c:v>278.58507799656701</c:v>
                </c:pt>
                <c:pt idx="84">
                  <c:v>273.52218528689116</c:v>
                </c:pt>
                <c:pt idx="85">
                  <c:v>277.26258166946758</c:v>
                </c:pt>
                <c:pt idx="86">
                  <c:v>276.6503334793473</c:v>
                </c:pt>
                <c:pt idx="87">
                  <c:v>273.18784667122827</c:v>
                </c:pt>
                <c:pt idx="88">
                  <c:v>279.45960961463226</c:v>
                </c:pt>
                <c:pt idx="89">
                  <c:v>282.26404558106253</c:v>
                </c:pt>
                <c:pt idx="90">
                  <c:v>284.52299784968795</c:v>
                </c:pt>
                <c:pt idx="91">
                  <c:v>284.74003775106507</c:v>
                </c:pt>
                <c:pt idx="92">
                  <c:v>283.97192968119555</c:v>
                </c:pt>
                <c:pt idx="93">
                  <c:v>284.02542354217655</c:v>
                </c:pt>
                <c:pt idx="94">
                  <c:v>297.40117806950991</c:v>
                </c:pt>
                <c:pt idx="95">
                  <c:v>300.39052983603654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56800"/>
        <c:axId val="207425536"/>
      </c:areaChart>
      <c:dateAx>
        <c:axId val="20695680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425536"/>
        <c:crosses val="autoZero"/>
        <c:auto val="1"/>
        <c:lblOffset val="100"/>
        <c:baseTimeUnit val="days"/>
      </c:dateAx>
      <c:valAx>
        <c:axId val="207425536"/>
        <c:scaling>
          <c:orientation val="minMax"/>
          <c:min val="2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5680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Steel!$A$6:$A$100</c:f>
              <c:numCache>
                <c:formatCode>yyyy\.mm\.dd</c:formatCode>
                <c:ptCount val="95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  <c:pt idx="52">
                  <c:v>43410</c:v>
                </c:pt>
                <c:pt idx="53">
                  <c:v>43411</c:v>
                </c:pt>
                <c:pt idx="54">
                  <c:v>43412</c:v>
                </c:pt>
                <c:pt idx="55">
                  <c:v>43413</c:v>
                </c:pt>
                <c:pt idx="56">
                  <c:v>43416</c:v>
                </c:pt>
                <c:pt idx="57">
                  <c:v>43417</c:v>
                </c:pt>
                <c:pt idx="58">
                  <c:v>43418</c:v>
                </c:pt>
                <c:pt idx="59">
                  <c:v>43419</c:v>
                </c:pt>
                <c:pt idx="60">
                  <c:v>43423</c:v>
                </c:pt>
                <c:pt idx="61">
                  <c:v>43424</c:v>
                </c:pt>
                <c:pt idx="62">
                  <c:v>43425</c:v>
                </c:pt>
                <c:pt idx="63">
                  <c:v>43426</c:v>
                </c:pt>
                <c:pt idx="64">
                  <c:v>43427</c:v>
                </c:pt>
                <c:pt idx="65">
                  <c:v>43430</c:v>
                </c:pt>
                <c:pt idx="66">
                  <c:v>43431</c:v>
                </c:pt>
                <c:pt idx="67">
                  <c:v>43432</c:v>
                </c:pt>
                <c:pt idx="68">
                  <c:v>43433</c:v>
                </c:pt>
                <c:pt idx="69">
                  <c:v>43434</c:v>
                </c:pt>
                <c:pt idx="70">
                  <c:v>43437</c:v>
                </c:pt>
                <c:pt idx="71">
                  <c:v>43438</c:v>
                </c:pt>
                <c:pt idx="72">
                  <c:v>43439</c:v>
                </c:pt>
                <c:pt idx="73">
                  <c:v>43440</c:v>
                </c:pt>
                <c:pt idx="74">
                  <c:v>43445</c:v>
                </c:pt>
                <c:pt idx="75">
                  <c:v>43446</c:v>
                </c:pt>
                <c:pt idx="76">
                  <c:v>43447</c:v>
                </c:pt>
                <c:pt idx="77">
                  <c:v>43448</c:v>
                </c:pt>
                <c:pt idx="78">
                  <c:v>43451</c:v>
                </c:pt>
                <c:pt idx="79">
                  <c:v>43452</c:v>
                </c:pt>
                <c:pt idx="80">
                  <c:v>43453</c:v>
                </c:pt>
                <c:pt idx="81">
                  <c:v>43454</c:v>
                </c:pt>
                <c:pt idx="82">
                  <c:v>43459</c:v>
                </c:pt>
                <c:pt idx="83">
                  <c:v>43460</c:v>
                </c:pt>
                <c:pt idx="84">
                  <c:v>43461</c:v>
                </c:pt>
                <c:pt idx="85">
                  <c:v>43462</c:v>
                </c:pt>
                <c:pt idx="86">
                  <c:v>43467</c:v>
                </c:pt>
                <c:pt idx="87">
                  <c:v>43468</c:v>
                </c:pt>
                <c:pt idx="88">
                  <c:v>43469</c:v>
                </c:pt>
                <c:pt idx="89">
                  <c:v>43472</c:v>
                </c:pt>
                <c:pt idx="90">
                  <c:v>43473</c:v>
                </c:pt>
                <c:pt idx="91">
                  <c:v>43474</c:v>
                </c:pt>
                <c:pt idx="92">
                  <c:v>43475</c:v>
                </c:pt>
                <c:pt idx="93">
                  <c:v>43480</c:v>
                </c:pt>
                <c:pt idx="94">
                  <c:v>43481</c:v>
                </c:pt>
              </c:numCache>
            </c:numRef>
          </c:cat>
          <c:val>
            <c:numRef>
              <c:f>Steel!$B$6:$B$100</c:f>
              <c:numCache>
                <c:formatCode>0.00</c:formatCode>
                <c:ptCount val="95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  <c:pt idx="52">
                  <c:v>676.56550746031053</c:v>
                </c:pt>
                <c:pt idx="53">
                  <c:v>667.54999039132599</c:v>
                </c:pt>
                <c:pt idx="54">
                  <c:v>656.32829136350028</c:v>
                </c:pt>
                <c:pt idx="55">
                  <c:v>653.51291983526869</c:v>
                </c:pt>
                <c:pt idx="56">
                  <c:v>636.95917847380258</c:v>
                </c:pt>
                <c:pt idx="57">
                  <c:v>635.70553257757399</c:v>
                </c:pt>
                <c:pt idx="58">
                  <c:v>634.93617523662533</c:v>
                </c:pt>
                <c:pt idx="59">
                  <c:v>635.21877597230957</c:v>
                </c:pt>
                <c:pt idx="60">
                  <c:v>617.9004681589746</c:v>
                </c:pt>
                <c:pt idx="61">
                  <c:v>595.04318210340909</c:v>
                </c:pt>
                <c:pt idx="62">
                  <c:v>579.63709677419354</c:v>
                </c:pt>
                <c:pt idx="63">
                  <c:v>577.16034222213227</c:v>
                </c:pt>
                <c:pt idx="64">
                  <c:v>577.16034222213227</c:v>
                </c:pt>
                <c:pt idx="65">
                  <c:v>556.85624752368255</c:v>
                </c:pt>
                <c:pt idx="66">
                  <c:v>546.76573678121895</c:v>
                </c:pt>
                <c:pt idx="67">
                  <c:v>546.72325731961735</c:v>
                </c:pt>
                <c:pt idx="68">
                  <c:v>555.62842223147868</c:v>
                </c:pt>
                <c:pt idx="69">
                  <c:v>555.89603085907925</c:v>
                </c:pt>
                <c:pt idx="70">
                  <c:v>576.06767674869434</c:v>
                </c:pt>
                <c:pt idx="71">
                  <c:v>577.67553260374518</c:v>
                </c:pt>
                <c:pt idx="72">
                  <c:v>575.3412255352207</c:v>
                </c:pt>
                <c:pt idx="73">
                  <c:v>570.24516166669093</c:v>
                </c:pt>
                <c:pt idx="74">
                  <c:v>554.21543786637187</c:v>
                </c:pt>
                <c:pt idx="75">
                  <c:v>554.83846667564831</c:v>
                </c:pt>
                <c:pt idx="76">
                  <c:v>561.34046063408903</c:v>
                </c:pt>
                <c:pt idx="77">
                  <c:v>564.22165767741353</c:v>
                </c:pt>
                <c:pt idx="78">
                  <c:v>563.83430518655086</c:v>
                </c:pt>
                <c:pt idx="79">
                  <c:v>563.78364041908401</c:v>
                </c:pt>
                <c:pt idx="80">
                  <c:v>563.60778708408509</c:v>
                </c:pt>
                <c:pt idx="81">
                  <c:v>561.9816515887569</c:v>
                </c:pt>
                <c:pt idx="82">
                  <c:v>563.69949375867861</c:v>
                </c:pt>
                <c:pt idx="83">
                  <c:v>556.43879173290941</c:v>
                </c:pt>
                <c:pt idx="84">
                  <c:v>558.73380760400437</c:v>
                </c:pt>
                <c:pt idx="85">
                  <c:v>560.28605149683699</c:v>
                </c:pt>
                <c:pt idx="86">
                  <c:v>560.49731398040444</c:v>
                </c:pt>
                <c:pt idx="87">
                  <c:v>557.02852189645671</c:v>
                </c:pt>
                <c:pt idx="88">
                  <c:v>555.51192896427563</c:v>
                </c:pt>
                <c:pt idx="89">
                  <c:v>556.51707720727495</c:v>
                </c:pt>
                <c:pt idx="90">
                  <c:v>560.27606196784734</c:v>
                </c:pt>
                <c:pt idx="91">
                  <c:v>558.16681964572092</c:v>
                </c:pt>
                <c:pt idx="92">
                  <c:v>561.59071855715968</c:v>
                </c:pt>
                <c:pt idx="93">
                  <c:v>559.01365146829812</c:v>
                </c:pt>
                <c:pt idx="94">
                  <c:v>555.15772532980941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58304"/>
        <c:axId val="207459840"/>
      </c:areaChart>
      <c:dateAx>
        <c:axId val="2074583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459840"/>
        <c:crosses val="autoZero"/>
        <c:auto val="1"/>
        <c:lblOffset val="100"/>
        <c:baseTimeUnit val="days"/>
      </c:dateAx>
      <c:valAx>
        <c:axId val="207459840"/>
        <c:scaling>
          <c:orientation val="minMax"/>
          <c:min val="45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45830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92224"/>
        <c:axId val="207493760"/>
      </c:areaChart>
      <c:dateAx>
        <c:axId val="20749222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493760"/>
        <c:crosses val="autoZero"/>
        <c:auto val="1"/>
        <c:lblOffset val="100"/>
        <c:baseTimeUnit val="days"/>
      </c:dateAx>
      <c:valAx>
        <c:axId val="207493760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49222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09376"/>
        <c:axId val="207510912"/>
      </c:areaChart>
      <c:dateAx>
        <c:axId val="2075093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751091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07510912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5093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51360"/>
        <c:axId val="206365440"/>
      </c:areaChart>
      <c:dateAx>
        <c:axId val="2063513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6365440"/>
        <c:crosses val="autoZero"/>
        <c:auto val="1"/>
        <c:lblOffset val="100"/>
        <c:baseTimeUnit val="days"/>
      </c:dateAx>
      <c:valAx>
        <c:axId val="206365440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6351360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73376"/>
        <c:axId val="207574912"/>
      </c:areaChart>
      <c:dateAx>
        <c:axId val="20757337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7574912"/>
        <c:crosses val="autoZero"/>
        <c:auto val="1"/>
        <c:lblOffset val="100"/>
        <c:baseTimeUnit val="days"/>
      </c:dateAx>
      <c:valAx>
        <c:axId val="20757491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757337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03200"/>
        <c:axId val="207604736"/>
      </c:areaChart>
      <c:dateAx>
        <c:axId val="20760320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7604736"/>
        <c:crosses val="autoZero"/>
        <c:auto val="1"/>
        <c:lblOffset val="100"/>
        <c:baseTimeUnit val="days"/>
      </c:dateAx>
      <c:valAx>
        <c:axId val="20760473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7603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21504"/>
        <c:axId val="207623296"/>
      </c:areaChart>
      <c:dateAx>
        <c:axId val="2076215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7623296"/>
        <c:crosses val="autoZero"/>
        <c:auto val="1"/>
        <c:lblOffset val="100"/>
        <c:baseTimeUnit val="days"/>
      </c:dateAx>
      <c:valAx>
        <c:axId val="207623296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7621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919872"/>
        <c:axId val="175921408"/>
      </c:lineChart>
      <c:dateAx>
        <c:axId val="1759198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75921408"/>
        <c:crosses val="autoZero"/>
        <c:auto val="1"/>
        <c:lblOffset val="100"/>
        <c:baseTimeUnit val="days"/>
      </c:dateAx>
      <c:valAx>
        <c:axId val="17592140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7591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55808"/>
        <c:axId val="196057344"/>
      </c:areaChart>
      <c:dateAx>
        <c:axId val="19605580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96057344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9605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6055808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60704"/>
        <c:axId val="207966592"/>
      </c:areaChart>
      <c:dateAx>
        <c:axId val="20796070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966592"/>
        <c:crosses val="autoZero"/>
        <c:auto val="1"/>
        <c:lblOffset val="100"/>
        <c:baseTimeUnit val="days"/>
      </c:dateAx>
      <c:valAx>
        <c:axId val="207966592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07960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986688"/>
        <c:axId val="207988224"/>
      </c:areaChart>
      <c:dateAx>
        <c:axId val="207986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7988224"/>
        <c:crosses val="autoZero"/>
        <c:auto val="1"/>
        <c:lblOffset val="100"/>
        <c:baseTimeUnit val="days"/>
      </c:dateAx>
      <c:valAx>
        <c:axId val="20798822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7986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00128"/>
        <c:axId val="208001664"/>
      </c:barChart>
      <c:dateAx>
        <c:axId val="2080001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8001664"/>
        <c:crosses val="autoZero"/>
        <c:auto val="1"/>
        <c:lblOffset val="100"/>
        <c:baseTimeUnit val="days"/>
      </c:dateAx>
      <c:valAx>
        <c:axId val="2080016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8000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342784"/>
        <c:axId val="208097664"/>
      </c:areaChart>
      <c:dateAx>
        <c:axId val="20634278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08097664"/>
        <c:crosses val="autoZero"/>
        <c:auto val="1"/>
        <c:lblOffset val="100"/>
        <c:baseTimeUnit val="days"/>
      </c:dateAx>
      <c:valAx>
        <c:axId val="208097664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6342784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113664"/>
        <c:axId val="208115200"/>
      </c:areaChart>
      <c:dateAx>
        <c:axId val="2081136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8115200"/>
        <c:crosses val="autoZero"/>
        <c:auto val="1"/>
        <c:lblOffset val="100"/>
        <c:baseTimeUnit val="days"/>
      </c:dateAx>
      <c:valAx>
        <c:axId val="208115200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8113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36832"/>
        <c:axId val="208363904"/>
      </c:lineChart>
      <c:catAx>
        <c:axId val="20813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363904"/>
        <c:crosses val="autoZero"/>
        <c:auto val="1"/>
        <c:lblAlgn val="ctr"/>
        <c:lblOffset val="100"/>
        <c:noMultiLvlLbl val="0"/>
      </c:catAx>
      <c:valAx>
        <c:axId val="208363904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08136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70720"/>
        <c:axId val="208672256"/>
      </c:lineChart>
      <c:dateAx>
        <c:axId val="208670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8672256"/>
        <c:crosses val="autoZero"/>
        <c:auto val="1"/>
        <c:lblOffset val="100"/>
        <c:baseTimeUnit val="days"/>
      </c:dateAx>
      <c:valAx>
        <c:axId val="2086722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867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79744"/>
        <c:axId val="208481280"/>
      </c:areaChart>
      <c:dateAx>
        <c:axId val="20847974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8481280"/>
        <c:crosses val="autoZero"/>
        <c:auto val="1"/>
        <c:lblOffset val="100"/>
        <c:baseTimeUnit val="days"/>
      </c:dateAx>
      <c:valAx>
        <c:axId val="208481280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8479744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10272"/>
        <c:axId val="208712064"/>
      </c:areaChart>
      <c:dateAx>
        <c:axId val="2087102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8712064"/>
        <c:crosses val="autoZero"/>
        <c:auto val="1"/>
        <c:lblOffset val="100"/>
        <c:baseTimeUnit val="days"/>
      </c:dateAx>
      <c:valAx>
        <c:axId val="20871206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871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7840"/>
        <c:axId val="208549376"/>
      </c:lineChart>
      <c:dateAx>
        <c:axId val="2085478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8549376"/>
        <c:crosses val="autoZero"/>
        <c:auto val="1"/>
        <c:lblOffset val="100"/>
        <c:baseTimeUnit val="days"/>
      </c:dateAx>
      <c:valAx>
        <c:axId val="20854937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854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Ag!$A$875:$A$1233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Ag!$B$875:$B$1233</c:f>
              <c:numCache>
                <c:formatCode>_(* #,##0.00_);_(* \(#,##0.00\);_(* "-"??_);_(@_)</c:formatCode>
                <c:ptCount val="245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  <c:pt idx="202">
                  <c:v>513.7556259859042</c:v>
                </c:pt>
                <c:pt idx="203">
                  <c:v>511.49934328686015</c:v>
                </c:pt>
                <c:pt idx="204">
                  <c:v>511.61802271705454</c:v>
                </c:pt>
                <c:pt idx="205">
                  <c:v>509.42339720198589</c:v>
                </c:pt>
                <c:pt idx="206">
                  <c:v>504.2413564279617</c:v>
                </c:pt>
                <c:pt idx="207">
                  <c:v>499.80102775985989</c:v>
                </c:pt>
                <c:pt idx="208">
                  <c:v>500.46216442687296</c:v>
                </c:pt>
                <c:pt idx="209">
                  <c:v>501.11703437815538</c:v>
                </c:pt>
                <c:pt idx="210">
                  <c:v>507.90695792061678</c:v>
                </c:pt>
                <c:pt idx="211">
                  <c:v>506.47190602789561</c:v>
                </c:pt>
                <c:pt idx="212">
                  <c:v>503.88824884792626</c:v>
                </c:pt>
                <c:pt idx="213">
                  <c:v>507.66994807723978</c:v>
                </c:pt>
                <c:pt idx="214">
                  <c:v>507.66994807723978</c:v>
                </c:pt>
                <c:pt idx="215">
                  <c:v>502.68342758347438</c:v>
                </c:pt>
                <c:pt idx="216">
                  <c:v>500.57842059522648</c:v>
                </c:pt>
                <c:pt idx="217">
                  <c:v>498.38141140925114</c:v>
                </c:pt>
                <c:pt idx="218">
                  <c:v>503.59681122614438</c:v>
                </c:pt>
                <c:pt idx="219">
                  <c:v>503.83935974620567</c:v>
                </c:pt>
                <c:pt idx="220">
                  <c:v>503.64360998555856</c:v>
                </c:pt>
                <c:pt idx="221">
                  <c:v>508.41267277518529</c:v>
                </c:pt>
                <c:pt idx="222">
                  <c:v>510.21376701016777</c:v>
                </c:pt>
                <c:pt idx="223">
                  <c:v>510.30379045313344</c:v>
                </c:pt>
                <c:pt idx="224">
                  <c:v>509.21256549654379</c:v>
                </c:pt>
                <c:pt idx="225">
                  <c:v>509.06067151389772</c:v>
                </c:pt>
                <c:pt idx="226">
                  <c:v>513.14235623204399</c:v>
                </c:pt>
                <c:pt idx="227">
                  <c:v>511.72577664093251</c:v>
                </c:pt>
                <c:pt idx="228">
                  <c:v>508.17559742520501</c:v>
                </c:pt>
                <c:pt idx="229">
                  <c:v>509.28938622947584</c:v>
                </c:pt>
                <c:pt idx="230">
                  <c:v>510.44272263233887</c:v>
                </c:pt>
                <c:pt idx="231">
                  <c:v>509.25966159434773</c:v>
                </c:pt>
                <c:pt idx="232">
                  <c:v>513.060851977011</c:v>
                </c:pt>
                <c:pt idx="233">
                  <c:v>513.94710218239629</c:v>
                </c:pt>
                <c:pt idx="234">
                  <c:v>519.40475257525497</c:v>
                </c:pt>
                <c:pt idx="235">
                  <c:v>525.21359996158037</c:v>
                </c:pt>
                <c:pt idx="236">
                  <c:v>528.32331232075001</c:v>
                </c:pt>
                <c:pt idx="237">
                  <c:v>533.90383913365338</c:v>
                </c:pt>
                <c:pt idx="238">
                  <c:v>543.29648340589893</c:v>
                </c:pt>
                <c:pt idx="239">
                  <c:v>540.63740144403073</c:v>
                </c:pt>
                <c:pt idx="240">
                  <c:v>539.23831674662961</c:v>
                </c:pt>
                <c:pt idx="241">
                  <c:v>539.34237004198292</c:v>
                </c:pt>
                <c:pt idx="242">
                  <c:v>543.38490179870541</c:v>
                </c:pt>
                <c:pt idx="243">
                  <c:v>546.29535146134742</c:v>
                </c:pt>
                <c:pt idx="244">
                  <c:v>545.41293547029682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15776"/>
        <c:axId val="207117312"/>
      </c:areaChart>
      <c:dateAx>
        <c:axId val="20711577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117312"/>
        <c:crosses val="autoZero"/>
        <c:auto val="1"/>
        <c:lblOffset val="100"/>
        <c:baseTimeUnit val="days"/>
        <c:majorUnit val="7"/>
        <c:majorTimeUnit val="days"/>
      </c:dateAx>
      <c:valAx>
        <c:axId val="20711731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11577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43040"/>
        <c:axId val="208748928"/>
      </c:areaChart>
      <c:dateAx>
        <c:axId val="2087430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08748928"/>
        <c:crosses val="autoZero"/>
        <c:auto val="1"/>
        <c:lblOffset val="100"/>
        <c:baseTimeUnit val="days"/>
      </c:dateAx>
      <c:valAx>
        <c:axId val="2087489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8743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34720"/>
        <c:axId val="209136256"/>
      </c:areaChart>
      <c:dateAx>
        <c:axId val="2091347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9136256"/>
        <c:crosses val="autoZero"/>
        <c:auto val="1"/>
        <c:lblOffset val="100"/>
        <c:baseTimeUnit val="days"/>
      </c:dateAx>
      <c:valAx>
        <c:axId val="20913625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9134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_(* #,##0.0_);_(* \(#,##0.0\);_(* "-"??_);_(@_)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8160"/>
        <c:axId val="209166336"/>
      </c:lineChart>
      <c:dateAx>
        <c:axId val="209148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9166336"/>
        <c:crosses val="autoZero"/>
        <c:auto val="1"/>
        <c:lblOffset val="100"/>
        <c:baseTimeUnit val="days"/>
      </c:dateAx>
      <c:valAx>
        <c:axId val="20916633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20914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24448"/>
        <c:axId val="209225984"/>
      </c:areaChart>
      <c:dateAx>
        <c:axId val="2092244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9225984"/>
        <c:crosses val="autoZero"/>
        <c:auto val="1"/>
        <c:lblOffset val="100"/>
        <c:baseTimeUnit val="days"/>
      </c:dateAx>
      <c:valAx>
        <c:axId val="209225984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09224448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246464"/>
        <c:axId val="208207872"/>
      </c:areaChart>
      <c:dateAx>
        <c:axId val="20924646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8207872"/>
        <c:crosses val="autoZero"/>
        <c:auto val="1"/>
        <c:lblOffset val="100"/>
        <c:baseTimeUnit val="days"/>
      </c:dateAx>
      <c:valAx>
        <c:axId val="208207872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9246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58240"/>
        <c:axId val="209659776"/>
      </c:areaChart>
      <c:dateAx>
        <c:axId val="2096582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9659776"/>
        <c:crosses val="autoZero"/>
        <c:auto val="1"/>
        <c:lblOffset val="100"/>
        <c:baseTimeUnit val="days"/>
      </c:dateAx>
      <c:valAx>
        <c:axId val="209659776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9658240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Zn!$A$760:$A$1230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Zn!$B$760:$B$1230</c:f>
              <c:numCache>
                <c:formatCode>_(* #,##0.00_);_(* \(#,##0.00\);_(* "-"??_);_(@_)</c:formatCode>
                <c:ptCount val="245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  <c:pt idx="202">
                  <c:v>3201.2040695234373</c:v>
                </c:pt>
                <c:pt idx="203">
                  <c:v>3168.695084260125</c:v>
                </c:pt>
                <c:pt idx="204">
                  <c:v>3164.5432374332649</c:v>
                </c:pt>
                <c:pt idx="205">
                  <c:v>3150.9686817607999</c:v>
                </c:pt>
                <c:pt idx="206">
                  <c:v>3146.650314449113</c:v>
                </c:pt>
                <c:pt idx="207">
                  <c:v>3133.2740487043816</c:v>
                </c:pt>
                <c:pt idx="208">
                  <c:v>3132.9277036618973</c:v>
                </c:pt>
                <c:pt idx="209">
                  <c:v>3124.2392859046249</c:v>
                </c:pt>
                <c:pt idx="210">
                  <c:v>3187.0655726094478</c:v>
                </c:pt>
                <c:pt idx="211">
                  <c:v>3169.2360511059146</c:v>
                </c:pt>
                <c:pt idx="212">
                  <c:v>3126.4400921658985</c:v>
                </c:pt>
                <c:pt idx="213">
                  <c:v>3132.1242101065905</c:v>
                </c:pt>
                <c:pt idx="214">
                  <c:v>3132.1242101065905</c:v>
                </c:pt>
                <c:pt idx="215">
                  <c:v>3073.1549184165974</c:v>
                </c:pt>
                <c:pt idx="216">
                  <c:v>3002.8949806905362</c:v>
                </c:pt>
                <c:pt idx="217">
                  <c:v>2981.0804978059132</c:v>
                </c:pt>
                <c:pt idx="218">
                  <c:v>2996.5019191160682</c:v>
                </c:pt>
                <c:pt idx="219">
                  <c:v>3021.0173402069286</c:v>
                </c:pt>
                <c:pt idx="220">
                  <c:v>3174.5159802763683</c:v>
                </c:pt>
                <c:pt idx="221">
                  <c:v>3156.1164489106377</c:v>
                </c:pt>
                <c:pt idx="222">
                  <c:v>3152.694685102897</c:v>
                </c:pt>
                <c:pt idx="223">
                  <c:v>3167.7045809208512</c:v>
                </c:pt>
                <c:pt idx="224">
                  <c:v>3122.7073496491657</c:v>
                </c:pt>
                <c:pt idx="225">
                  <c:v>3124.769119110636</c:v>
                </c:pt>
                <c:pt idx="226">
                  <c:v>3130.6925820059437</c:v>
                </c:pt>
                <c:pt idx="227">
                  <c:v>3123.5776306471244</c:v>
                </c:pt>
                <c:pt idx="228">
                  <c:v>3149.6451032657455</c:v>
                </c:pt>
                <c:pt idx="229">
                  <c:v>3172.5511282194725</c:v>
                </c:pt>
                <c:pt idx="230">
                  <c:v>3156.4941271487546</c:v>
                </c:pt>
                <c:pt idx="231">
                  <c:v>3177.8034628498262</c:v>
                </c:pt>
                <c:pt idx="232">
                  <c:v>3148.5917669403671</c:v>
                </c:pt>
                <c:pt idx="233">
                  <c:v>3165.1972828443418</c:v>
                </c:pt>
                <c:pt idx="234">
                  <c:v>3207.2771813112977</c:v>
                </c:pt>
                <c:pt idx="235">
                  <c:v>3198.724003091033</c:v>
                </c:pt>
                <c:pt idx="236">
                  <c:v>3169.3575390528322</c:v>
                </c:pt>
                <c:pt idx="237">
                  <c:v>3119.6505991328972</c:v>
                </c:pt>
                <c:pt idx="238">
                  <c:v>3107.6675188394161</c:v>
                </c:pt>
                <c:pt idx="239">
                  <c:v>3133.6864740126921</c:v>
                </c:pt>
                <c:pt idx="240">
                  <c:v>3158.5836922411627</c:v>
                </c:pt>
                <c:pt idx="241">
                  <c:v>3182.6453167250129</c:v>
                </c:pt>
                <c:pt idx="242">
                  <c:v>3183.0815106716923</c:v>
                </c:pt>
                <c:pt idx="243">
                  <c:v>3191.2580912789431</c:v>
                </c:pt>
                <c:pt idx="244">
                  <c:v>3180.1974058188207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145216"/>
        <c:axId val="207151104"/>
      </c:areaChart>
      <c:dateAx>
        <c:axId val="2071452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151104"/>
        <c:crosses val="autoZero"/>
        <c:auto val="1"/>
        <c:lblOffset val="100"/>
        <c:baseTimeUnit val="days"/>
      </c:dateAx>
      <c:valAx>
        <c:axId val="20715110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1452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USD_CNY!$A$910:$A$1020</c:f>
              <c:numCache>
                <c:formatCode>yyyy\.mm\.dd</c:formatCode>
                <c:ptCount val="111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  <c:pt idx="67">
                  <c:v>43410</c:v>
                </c:pt>
                <c:pt idx="68">
                  <c:v>43411</c:v>
                </c:pt>
                <c:pt idx="69">
                  <c:v>43412</c:v>
                </c:pt>
                <c:pt idx="70">
                  <c:v>43413</c:v>
                </c:pt>
                <c:pt idx="71">
                  <c:v>43416</c:v>
                </c:pt>
                <c:pt idx="72">
                  <c:v>43417</c:v>
                </c:pt>
                <c:pt idx="73">
                  <c:v>43418</c:v>
                </c:pt>
                <c:pt idx="74">
                  <c:v>43419</c:v>
                </c:pt>
                <c:pt idx="75">
                  <c:v>43420</c:v>
                </c:pt>
                <c:pt idx="76">
                  <c:v>43423</c:v>
                </c:pt>
                <c:pt idx="77">
                  <c:v>43424</c:v>
                </c:pt>
                <c:pt idx="78">
                  <c:v>43425</c:v>
                </c:pt>
                <c:pt idx="79">
                  <c:v>43426</c:v>
                </c:pt>
                <c:pt idx="80">
                  <c:v>43427</c:v>
                </c:pt>
                <c:pt idx="81">
                  <c:v>43430</c:v>
                </c:pt>
                <c:pt idx="82">
                  <c:v>43431</c:v>
                </c:pt>
                <c:pt idx="83">
                  <c:v>43432</c:v>
                </c:pt>
                <c:pt idx="84">
                  <c:v>43433</c:v>
                </c:pt>
                <c:pt idx="85">
                  <c:v>43434</c:v>
                </c:pt>
                <c:pt idx="86">
                  <c:v>43437</c:v>
                </c:pt>
                <c:pt idx="87">
                  <c:v>43438</c:v>
                </c:pt>
                <c:pt idx="88">
                  <c:v>43439</c:v>
                </c:pt>
                <c:pt idx="89">
                  <c:v>43440</c:v>
                </c:pt>
                <c:pt idx="90">
                  <c:v>43445</c:v>
                </c:pt>
                <c:pt idx="91">
                  <c:v>43446</c:v>
                </c:pt>
                <c:pt idx="92">
                  <c:v>43447</c:v>
                </c:pt>
                <c:pt idx="93">
                  <c:v>43448</c:v>
                </c:pt>
                <c:pt idx="94">
                  <c:v>43451</c:v>
                </c:pt>
                <c:pt idx="95">
                  <c:v>43452</c:v>
                </c:pt>
                <c:pt idx="96">
                  <c:v>43453</c:v>
                </c:pt>
                <c:pt idx="97">
                  <c:v>43454</c:v>
                </c:pt>
                <c:pt idx="98">
                  <c:v>43459</c:v>
                </c:pt>
                <c:pt idx="99">
                  <c:v>43460</c:v>
                </c:pt>
                <c:pt idx="100">
                  <c:v>43461</c:v>
                </c:pt>
                <c:pt idx="101">
                  <c:v>43462</c:v>
                </c:pt>
                <c:pt idx="102">
                  <c:v>43467</c:v>
                </c:pt>
                <c:pt idx="103">
                  <c:v>43468</c:v>
                </c:pt>
                <c:pt idx="104">
                  <c:v>43469</c:v>
                </c:pt>
                <c:pt idx="105">
                  <c:v>43472</c:v>
                </c:pt>
                <c:pt idx="106">
                  <c:v>43473</c:v>
                </c:pt>
                <c:pt idx="107">
                  <c:v>43474</c:v>
                </c:pt>
                <c:pt idx="108">
                  <c:v>43475</c:v>
                </c:pt>
                <c:pt idx="109">
                  <c:v>43480</c:v>
                </c:pt>
                <c:pt idx="110">
                  <c:v>43481</c:v>
                </c:pt>
              </c:numCache>
            </c:numRef>
          </c:cat>
          <c:val>
            <c:numRef>
              <c:f>USD_CNY!$B$910:$B$1020</c:f>
              <c:numCache>
                <c:formatCode>_(* #,##0.00000_);_(* \(#,##0.00000\);_(* "-"??_);_(@_)</c:formatCode>
                <c:ptCount val="111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  <c:pt idx="67">
                  <c:v>6.9099000000000004</c:v>
                </c:pt>
                <c:pt idx="68">
                  <c:v>6.9208299999999996</c:v>
                </c:pt>
                <c:pt idx="69">
                  <c:v>6.9172700000000003</c:v>
                </c:pt>
                <c:pt idx="70">
                  <c:v>6.9470700000000001</c:v>
                </c:pt>
                <c:pt idx="71">
                  <c:v>6.9470700000000001</c:v>
                </c:pt>
                <c:pt idx="72">
                  <c:v>6.9607700000000001</c:v>
                </c:pt>
                <c:pt idx="73">
                  <c:v>6.9455799999999996</c:v>
                </c:pt>
                <c:pt idx="74">
                  <c:v>6.9424900000000003</c:v>
                </c:pt>
                <c:pt idx="75">
                  <c:v>6.9262100000000002</c:v>
                </c:pt>
                <c:pt idx="76">
                  <c:v>6.91859</c:v>
                </c:pt>
                <c:pt idx="77">
                  <c:v>6.9322699999999999</c:v>
                </c:pt>
                <c:pt idx="78">
                  <c:v>6.944</c:v>
                </c:pt>
                <c:pt idx="79">
                  <c:v>6.9218200000000003</c:v>
                </c:pt>
                <c:pt idx="80">
                  <c:v>6.9218200000000003</c:v>
                </c:pt>
                <c:pt idx="81">
                  <c:v>6.9407500000000004</c:v>
                </c:pt>
                <c:pt idx="82">
                  <c:v>6.9499599999999999</c:v>
                </c:pt>
                <c:pt idx="83">
                  <c:v>6.9504999999999999</c:v>
                </c:pt>
                <c:pt idx="84">
                  <c:v>6.9380899999999999</c:v>
                </c:pt>
                <c:pt idx="85">
                  <c:v>6.9347500000000002</c:v>
                </c:pt>
                <c:pt idx="86">
                  <c:v>6.9175899999999997</c:v>
                </c:pt>
                <c:pt idx="87">
                  <c:v>6.8723700000000001</c:v>
                </c:pt>
                <c:pt idx="88">
                  <c:v>6.8481100000000001</c:v>
                </c:pt>
                <c:pt idx="89">
                  <c:v>6.8567</c:v>
                </c:pt>
                <c:pt idx="90">
                  <c:v>6.9106699999999996</c:v>
                </c:pt>
                <c:pt idx="91">
                  <c:v>6.9029100000000003</c:v>
                </c:pt>
                <c:pt idx="92">
                  <c:v>6.8674900000000001</c:v>
                </c:pt>
                <c:pt idx="93">
                  <c:v>6.8767300000000002</c:v>
                </c:pt>
                <c:pt idx="94">
                  <c:v>6.8991899999999999</c:v>
                </c:pt>
                <c:pt idx="95">
                  <c:v>6.8998100000000004</c:v>
                </c:pt>
                <c:pt idx="96">
                  <c:v>6.88422</c:v>
                </c:pt>
                <c:pt idx="97">
                  <c:v>6.9041399999999999</c:v>
                </c:pt>
                <c:pt idx="98">
                  <c:v>6.8919699999999997</c:v>
                </c:pt>
                <c:pt idx="99">
                  <c:v>6.9189999999999996</c:v>
                </c:pt>
                <c:pt idx="100">
                  <c:v>6.8905799999999999</c:v>
                </c:pt>
                <c:pt idx="101">
                  <c:v>6.8714899999999997</c:v>
                </c:pt>
                <c:pt idx="102">
                  <c:v>6.8689</c:v>
                </c:pt>
                <c:pt idx="103">
                  <c:v>6.8757700000000002</c:v>
                </c:pt>
                <c:pt idx="104">
                  <c:v>6.8765400000000003</c:v>
                </c:pt>
                <c:pt idx="105">
                  <c:v>6.8641199999999998</c:v>
                </c:pt>
                <c:pt idx="106">
                  <c:v>6.8448399999999996</c:v>
                </c:pt>
                <c:pt idx="107">
                  <c:v>6.8527899999999997</c:v>
                </c:pt>
                <c:pt idx="108">
                  <c:v>6.8110099999999996</c:v>
                </c:pt>
                <c:pt idx="109">
                  <c:v>6.7619100000000003</c:v>
                </c:pt>
                <c:pt idx="110">
                  <c:v>6.77285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35072"/>
        <c:axId val="206845056"/>
      </c:areaChart>
      <c:dateAx>
        <c:axId val="2068350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845056"/>
        <c:crosses val="autoZero"/>
        <c:auto val="1"/>
        <c:lblOffset val="100"/>
        <c:baseTimeUnit val="days"/>
        <c:majorUnit val="7"/>
      </c:dateAx>
      <c:valAx>
        <c:axId val="206845056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8350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72960"/>
        <c:axId val="206874496"/>
      </c:areaChart>
      <c:catAx>
        <c:axId val="20687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874496"/>
        <c:crosses val="autoZero"/>
        <c:auto val="1"/>
        <c:lblAlgn val="ctr"/>
        <c:lblOffset val="100"/>
        <c:noMultiLvlLbl val="0"/>
      </c:catAx>
      <c:valAx>
        <c:axId val="20687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8729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Pb!$A$759:$A$1232</c:f>
              <c:numCache>
                <c:formatCode>yyyy\.mm\.dd</c:formatCode>
                <c:ptCount val="245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  <c:pt idx="202">
                  <c:v>43410</c:v>
                </c:pt>
                <c:pt idx="203">
                  <c:v>43411</c:v>
                </c:pt>
                <c:pt idx="204">
                  <c:v>43412</c:v>
                </c:pt>
                <c:pt idx="205">
                  <c:v>43413</c:v>
                </c:pt>
                <c:pt idx="206">
                  <c:v>43416</c:v>
                </c:pt>
                <c:pt idx="207">
                  <c:v>43417</c:v>
                </c:pt>
                <c:pt idx="208">
                  <c:v>43418</c:v>
                </c:pt>
                <c:pt idx="209">
                  <c:v>43419</c:v>
                </c:pt>
                <c:pt idx="210">
                  <c:v>43423</c:v>
                </c:pt>
                <c:pt idx="211">
                  <c:v>43424</c:v>
                </c:pt>
                <c:pt idx="212">
                  <c:v>43425</c:v>
                </c:pt>
                <c:pt idx="213">
                  <c:v>43426</c:v>
                </c:pt>
                <c:pt idx="214">
                  <c:v>43427</c:v>
                </c:pt>
                <c:pt idx="215">
                  <c:v>43430</c:v>
                </c:pt>
                <c:pt idx="216">
                  <c:v>43431</c:v>
                </c:pt>
                <c:pt idx="217">
                  <c:v>43432</c:v>
                </c:pt>
                <c:pt idx="218">
                  <c:v>43433</c:v>
                </c:pt>
                <c:pt idx="219">
                  <c:v>43434</c:v>
                </c:pt>
                <c:pt idx="220">
                  <c:v>43437</c:v>
                </c:pt>
                <c:pt idx="221">
                  <c:v>43438</c:v>
                </c:pt>
                <c:pt idx="222">
                  <c:v>43439</c:v>
                </c:pt>
                <c:pt idx="223">
                  <c:v>43440</c:v>
                </c:pt>
                <c:pt idx="224">
                  <c:v>43445</c:v>
                </c:pt>
                <c:pt idx="225">
                  <c:v>43446</c:v>
                </c:pt>
                <c:pt idx="226">
                  <c:v>43447</c:v>
                </c:pt>
                <c:pt idx="227">
                  <c:v>43448</c:v>
                </c:pt>
                <c:pt idx="228">
                  <c:v>43451</c:v>
                </c:pt>
                <c:pt idx="229">
                  <c:v>43452</c:v>
                </c:pt>
                <c:pt idx="230">
                  <c:v>43453</c:v>
                </c:pt>
                <c:pt idx="231">
                  <c:v>43454</c:v>
                </c:pt>
                <c:pt idx="232">
                  <c:v>43459</c:v>
                </c:pt>
                <c:pt idx="233">
                  <c:v>43460</c:v>
                </c:pt>
                <c:pt idx="234">
                  <c:v>43461</c:v>
                </c:pt>
                <c:pt idx="235">
                  <c:v>43462</c:v>
                </c:pt>
                <c:pt idx="236">
                  <c:v>43467</c:v>
                </c:pt>
                <c:pt idx="237">
                  <c:v>43468</c:v>
                </c:pt>
                <c:pt idx="238">
                  <c:v>43469</c:v>
                </c:pt>
                <c:pt idx="239">
                  <c:v>43472</c:v>
                </c:pt>
                <c:pt idx="240">
                  <c:v>43473</c:v>
                </c:pt>
                <c:pt idx="241">
                  <c:v>43474</c:v>
                </c:pt>
                <c:pt idx="242">
                  <c:v>43475</c:v>
                </c:pt>
                <c:pt idx="243">
                  <c:v>43480</c:v>
                </c:pt>
                <c:pt idx="244">
                  <c:v>43481</c:v>
                </c:pt>
              </c:numCache>
            </c:numRef>
          </c:cat>
          <c:val>
            <c:numRef>
              <c:f>Pb!$B$759:$B$1232</c:f>
              <c:numCache>
                <c:formatCode>_(* #,##0.00_);_(* \(#,##0.00\);_(* "-"??_);_(@_)</c:formatCode>
                <c:ptCount val="245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  <c:pt idx="202">
                  <c:v>2709.8800272073399</c:v>
                </c:pt>
                <c:pt idx="203">
                  <c:v>2683.9266388569004</c:v>
                </c:pt>
                <c:pt idx="204">
                  <c:v>2685.3079321755549</c:v>
                </c:pt>
                <c:pt idx="205">
                  <c:v>2673.7890938194087</c:v>
                </c:pt>
                <c:pt idx="206">
                  <c:v>2688.1836515250316</c:v>
                </c:pt>
                <c:pt idx="207">
                  <c:v>2675.7097275157776</c:v>
                </c:pt>
                <c:pt idx="208">
                  <c:v>2681.5615110617114</c:v>
                </c:pt>
                <c:pt idx="209">
                  <c:v>2693.5580749846235</c:v>
                </c:pt>
                <c:pt idx="210">
                  <c:v>2688.4090544460651</c:v>
                </c:pt>
                <c:pt idx="211">
                  <c:v>2679.4974806232303</c:v>
                </c:pt>
                <c:pt idx="212">
                  <c:v>2664.1705069124423</c:v>
                </c:pt>
                <c:pt idx="213">
                  <c:v>2676.3192339586985</c:v>
                </c:pt>
                <c:pt idx="214">
                  <c:v>2676.3192339586985</c:v>
                </c:pt>
                <c:pt idx="215">
                  <c:v>2683.427583474408</c:v>
                </c:pt>
                <c:pt idx="216">
                  <c:v>2679.8715388290007</c:v>
                </c:pt>
                <c:pt idx="217">
                  <c:v>2672.4696065031294</c:v>
                </c:pt>
                <c:pt idx="218">
                  <c:v>2691.6629792925719</c:v>
                </c:pt>
                <c:pt idx="219">
                  <c:v>2685.7493060312195</c:v>
                </c:pt>
                <c:pt idx="220">
                  <c:v>2732.1653928608084</c:v>
                </c:pt>
                <c:pt idx="221">
                  <c:v>2739.229698051764</c:v>
                </c:pt>
                <c:pt idx="222">
                  <c:v>2759.8855742679366</c:v>
                </c:pt>
                <c:pt idx="223">
                  <c:v>2752.7819505009697</c:v>
                </c:pt>
                <c:pt idx="224">
                  <c:v>2720.4308699445933</c:v>
                </c:pt>
                <c:pt idx="225">
                  <c:v>2727.1107402530238</c:v>
                </c:pt>
                <c:pt idx="226">
                  <c:v>2741.1761793610185</c:v>
                </c:pt>
                <c:pt idx="227">
                  <c:v>2715.6802724550766</c:v>
                </c:pt>
                <c:pt idx="228">
                  <c:v>2688.7214296171001</c:v>
                </c:pt>
                <c:pt idx="229">
                  <c:v>2670.3633868178977</c:v>
                </c:pt>
                <c:pt idx="230">
                  <c:v>2687.305170375148</c:v>
                </c:pt>
                <c:pt idx="231">
                  <c:v>2686.7937208689277</c:v>
                </c:pt>
                <c:pt idx="232">
                  <c:v>2677.0284838732614</c:v>
                </c:pt>
                <c:pt idx="233">
                  <c:v>2641.2776412776416</c:v>
                </c:pt>
                <c:pt idx="234">
                  <c:v>2673.9403649620208</c:v>
                </c:pt>
                <c:pt idx="235">
                  <c:v>2692.2836240757101</c:v>
                </c:pt>
                <c:pt idx="236">
                  <c:v>2693.2987814642811</c:v>
                </c:pt>
                <c:pt idx="237">
                  <c:v>2668.7920043864178</c:v>
                </c:pt>
                <c:pt idx="238">
                  <c:v>2646.6798709816271</c:v>
                </c:pt>
                <c:pt idx="239">
                  <c:v>2651.4687971655508</c:v>
                </c:pt>
                <c:pt idx="240">
                  <c:v>2651.6324705909856</c:v>
                </c:pt>
                <c:pt idx="241">
                  <c:v>2652.2044306041776</c:v>
                </c:pt>
                <c:pt idx="242">
                  <c:v>2650.1209071782309</c:v>
                </c:pt>
                <c:pt idx="243">
                  <c:v>2632.3923270200285</c:v>
                </c:pt>
                <c:pt idx="244">
                  <c:v>2628.1402954443106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967936"/>
        <c:axId val="206969472"/>
      </c:areaChart>
      <c:dateAx>
        <c:axId val="2069679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06969472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206969472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679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  <c:pt idx="8">
                  <c:v>7300</c:v>
                </c:pt>
                <c:pt idx="9">
                  <c:v>7300</c:v>
                </c:pt>
                <c:pt idx="10">
                  <c:v>7300</c:v>
                </c:pt>
                <c:pt idx="11">
                  <c:v>7300</c:v>
                </c:pt>
                <c:pt idx="12">
                  <c:v>7300</c:v>
                </c:pt>
                <c:pt idx="13">
                  <c:v>7300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  <c:pt idx="8">
                  <c:v>43433</c:v>
                </c:pt>
                <c:pt idx="9">
                  <c:v>43434</c:v>
                </c:pt>
                <c:pt idx="10">
                  <c:v>43437</c:v>
                </c:pt>
                <c:pt idx="11">
                  <c:v>43438</c:v>
                </c:pt>
                <c:pt idx="12">
                  <c:v>43439</c:v>
                </c:pt>
                <c:pt idx="13">
                  <c:v>43440</c:v>
                </c:pt>
                <c:pt idx="14">
                  <c:v>43441</c:v>
                </c:pt>
              </c:numCache>
            </c:numRef>
          </c:cat>
          <c:val>
            <c:numRef>
              <c:f>'SiMn 6014'!$E$7:$E$107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89952"/>
        <c:axId val="206995840"/>
      </c:lineChart>
      <c:dateAx>
        <c:axId val="206989952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95840"/>
        <c:crosses val="autoZero"/>
        <c:auto val="1"/>
        <c:lblOffset val="100"/>
        <c:baseTimeUnit val="days"/>
      </c:dateAx>
      <c:valAx>
        <c:axId val="206995840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89952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7">
                  <c:v>43433</c:v>
                </c:pt>
                <c:pt idx="8">
                  <c:v>43434</c:v>
                </c:pt>
                <c:pt idx="9">
                  <c:v>43437</c:v>
                </c:pt>
                <c:pt idx="10">
                  <c:v>43438</c:v>
                </c:pt>
                <c:pt idx="11">
                  <c:v>43439</c:v>
                </c:pt>
                <c:pt idx="12">
                  <c:v>43440</c:v>
                </c:pt>
                <c:pt idx="13">
                  <c:v>43441</c:v>
                </c:pt>
              </c:numCache>
            </c:numRef>
          </c:cat>
          <c:val>
            <c:numRef>
              <c:f>'SiMn 6517'!$C$7:$C$289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  <c:pt idx="7">
                  <c:v>8650</c:v>
                </c:pt>
                <c:pt idx="8">
                  <c:v>8650</c:v>
                </c:pt>
                <c:pt idx="9">
                  <c:v>8650</c:v>
                </c:pt>
                <c:pt idx="10">
                  <c:v>8650</c:v>
                </c:pt>
                <c:pt idx="11">
                  <c:v>8650</c:v>
                </c:pt>
                <c:pt idx="12">
                  <c:v>8650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007104"/>
        <c:axId val="206910592"/>
      </c:lineChart>
      <c:dateAx>
        <c:axId val="20700710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6910592"/>
        <c:crosses val="autoZero"/>
        <c:auto val="1"/>
        <c:lblOffset val="100"/>
        <c:baseTimeUnit val="days"/>
      </c:dateAx>
      <c:valAx>
        <c:axId val="2069105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700710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9</xdr:col>
      <xdr:colOff>25400</xdr:colOff>
      <xdr:row>126</xdr:row>
      <xdr:rowOff>174625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522941</xdr:colOff>
      <xdr:row>1196</xdr:row>
      <xdr:rowOff>74706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s://tradingeconomics.com/china/currency" TargetMode="Externa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q.smm.cn/gt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zoomScale="80" zoomScaleNormal="80" zoomScaleSheetLayoutView="85" workbookViewId="0">
      <selection activeCell="A4" sqref="A4:I11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269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4" t="s">
        <v>1018</v>
      </c>
      <c r="B1" s="384"/>
      <c r="C1" s="384"/>
      <c r="D1" s="384"/>
      <c r="E1" s="384"/>
      <c r="F1" s="384"/>
      <c r="G1" s="384"/>
      <c r="H1" s="384"/>
      <c r="I1" s="384"/>
      <c r="J1" s="157"/>
      <c r="K1" s="338"/>
      <c r="L1" s="197"/>
      <c r="M1" s="158"/>
    </row>
    <row r="2" spans="1:13" x14ac:dyDescent="0.3">
      <c r="A2" s="385" t="s">
        <v>21</v>
      </c>
      <c r="B2" s="385"/>
      <c r="C2" s="385"/>
      <c r="D2" s="385"/>
      <c r="E2" s="181">
        <v>43487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1013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47515</v>
      </c>
      <c r="E5" s="328">
        <f>+IF(ISERROR(VLOOKUP($E$2,Cu!$A$5:$H$1643,7,0)),0,VLOOKUP($E$2,Cu!$A$5:$H$1643,7,0))</f>
        <v>-405</v>
      </c>
      <c r="F5" s="327" t="s">
        <v>3</v>
      </c>
      <c r="G5" s="326">
        <f>+IF(ISERROR(VLOOKUP($E$2,Cu!$A$5:$H$1643,2,0)),0,VLOOKUP($E$2,Cu!$A$5:$H$1643,2,0))</f>
        <v>6987.70552075061</v>
      </c>
      <c r="H5" s="326">
        <f>+IF(ISERROR(VLOOKUP($E$2,Cu!$A$5:$H$1643,4,0)),0,VLOOKUP($E$2,Cu!$A$5:$H$1643,4,0))</f>
        <v>5972.397880983428</v>
      </c>
      <c r="I5" s="326">
        <f>+IF(ISERROR(VLOOKUP($E$2,Cu!$A$5:$H$2000,5,0)),0,VLOOKUP($E$2,Cu!$A$5:$H$2000,5,0))</f>
        <v>5951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17875</v>
      </c>
      <c r="E6" s="328">
        <f>+IF(ISERROR(VLOOKUP($E$2,Pb!$A$5:$H$1988,7,0)),0,VLOOKUP($E$2,Pb!$A$5:$H$1988,7,0))</f>
        <v>-50</v>
      </c>
      <c r="F6" s="327" t="s">
        <v>3</v>
      </c>
      <c r="G6" s="326">
        <f>+IF(ISERROR(VLOOKUP($E$2,Pb!$A$5:$H$1988,2,0)),0,VLOOKUP($E$2,Pb!$A$5:$H$1988,2,0))</f>
        <v>2628.7537868760846</v>
      </c>
      <c r="H6" s="326">
        <f>+IF(ISERROR(VLOOKUP($E$2,Pb!$A$5:$H$1988,4,0)),0,VLOOKUP($E$2,Pb!$A$5:$H$1988,4,0))</f>
        <v>2246.7981084410981</v>
      </c>
      <c r="I6" s="326">
        <f>+IF(ISERROR(VLOOKUP($E$2,Pb!$A$5:$H$1988,5,0)),0,VLOOKUP($E$2,Pb!$A$5:$H$1988,5,0))</f>
        <v>2003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3631</v>
      </c>
      <c r="E7" s="328">
        <f>+IF(ISERROR(VLOOKUP($E$2,Ag!$A$5:$H$1988,7,0)),0,VLOOKUP($E$2,Ag!$A$5:$H$1988,7,0))</f>
        <v>-23</v>
      </c>
      <c r="F7" s="327" t="s">
        <v>6</v>
      </c>
      <c r="G7" s="326">
        <f>+IF(ISERROR(VLOOKUP($E$2,Ag!$A$5:$H$1519,2,0)),0,VLOOKUP($E$2,Ag!$A$5:$H$1519,2,0))</f>
        <v>533.98629371452103</v>
      </c>
      <c r="H7" s="326">
        <f>+IF(ISERROR(VLOOKUP($E$2,Ag!$A$5:$H$1519,4,0)),0,VLOOKUP($E$2,Ag!$A$5:$H$1519,4,0))</f>
        <v>456.39854163634277</v>
      </c>
      <c r="I7" s="326">
        <f>+IF(ISERROR(VLOOKUP($E$2,Ag!$A$5:$H$1519,5,0)),0,VLOOKUP($E$2,Ag!$A$5:$H$1519,5,0))</f>
        <v>0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21840</v>
      </c>
      <c r="E8" s="328">
        <f>+IF(ISERROR(VLOOKUP($E$2,Zn!$A$5:$H$2996,7,0)),0,VLOOKUP($E$2,Zn!$A$5:$H$2996,7,0))</f>
        <v>-110</v>
      </c>
      <c r="F8" s="327" t="s">
        <v>3</v>
      </c>
      <c r="G8" s="326">
        <f>+IF(ISERROR(VLOOKUP($E$2,Zn!$A$5:$H$2996,2,0)),0,VLOOKUP($E$2,Zn!$A$5:$H$2996,2,0))</f>
        <v>3211.8591723285977</v>
      </c>
      <c r="H8" s="326">
        <f>+IF(ISERROR(VLOOKUP($E$2,Zn!$A$5:$H$2996,4,0)),0,VLOOKUP($E$2,Zn!$A$5:$H$2996,4,0))</f>
        <v>2745.1787797680322</v>
      </c>
      <c r="I8" s="326">
        <f>+IF(ISERROR(VLOOKUP($E$2,Zn!$A$5:$H$2996,5,0)),0,VLOOKUP($E$2,Zn!$A$5:$H$2996,5,0))</f>
        <v>2569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95400</v>
      </c>
      <c r="E9" s="328">
        <f>+IF(ISERROR(VLOOKUP($E$2,Ni!$A$6:$H$2998,7,0)),0,VLOOKUP($E$2,Ni!$A$6:$H$2998,7,0))</f>
        <v>250</v>
      </c>
      <c r="F9" s="327" t="s">
        <v>3</v>
      </c>
      <c r="G9" s="326">
        <f>+IF(ISERROR(VLOOKUP($E$2,Ni!$A$6:$H$2998,2,0)),0,VLOOKUP($E$2,Ni!$A$6:$H$2998,2,0))</f>
        <v>14029.824406600193</v>
      </c>
      <c r="H9" s="326">
        <f>+IF(ISERROR(VLOOKUP($E$2,Ni!$A$6:$H$2998,4,0)),0,VLOOKUP($E$2,Ni!$A$6:$H$2998,4,0))</f>
        <v>11991.302911624098</v>
      </c>
      <c r="I9" s="326">
        <f>+IF(ISERROR(VLOOKUP($E$2,Ni!$A$6:$H$2998,5,0)),0,VLOOKUP($E$2,Ni!$A$6:$H$2998,5,0))</f>
        <v>11670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1022</v>
      </c>
      <c r="C10" s="166" t="s">
        <v>2</v>
      </c>
      <c r="D10" s="326">
        <f>+IF(ISERROR(VLOOKUP($E$2,Coke!$A$6:$H$2998,3,0)),0,VLOOKUP($E$2,Coke!$A$6:$H$2998,3,0))</f>
        <v>2019</v>
      </c>
      <c r="E10" s="328">
        <f>+IF(ISERROR(VLOOKUP($E$2,Coke!$A$6:$H$2998,7,0)),0,VLOOKUP($E$2,Coke!$A$6:$H$2998,7,0))</f>
        <v>-32.5</v>
      </c>
      <c r="F10" s="327" t="s">
        <v>3</v>
      </c>
      <c r="G10" s="326">
        <f>+IF(ISERROR(VLOOKUP($E$2,Coke!$A$6:$H$2998,2,0)),0,VLOOKUP($E$2,Coke!$A$6:$H$2998,2,0))</f>
        <v>296.92049766169595</v>
      </c>
      <c r="H10" s="326">
        <f>+IF(ISERROR(VLOOKUP($E$2,Coke!$A$6:$H$2998,4,0)),0,VLOOKUP($E$2,Coke!$A$6:$H$2998,4,0))</f>
        <v>253.77820312965468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1025</v>
      </c>
      <c r="C11" s="166" t="s">
        <v>2</v>
      </c>
      <c r="D11" s="326">
        <f>+IF(ISERROR(VLOOKUP($E$2,Steel!$A$6:$H$2998,3,0)),0,VLOOKUP($E$2,Steel!$A$6:$H$2998,3,0))</f>
        <v>3840</v>
      </c>
      <c r="E11" s="328">
        <f>+IF(ISERROR(VLOOKUP($E$2,Steel!$A$6:$H$2998,7,0)),0,VLOOKUP($E$2,Steel!$A$6:$H$2998,7,0))</f>
        <v>30</v>
      </c>
      <c r="F11" s="327" t="s">
        <v>3</v>
      </c>
      <c r="G11" s="326">
        <f>+IF(ISERROR(VLOOKUP($E$2,Steel!$A$6:$H$2998,2,0)),0,VLOOKUP($E$2,Steel!$A$6:$H$2998,2,0))</f>
        <v>564.72249183799522</v>
      </c>
      <c r="H11" s="326">
        <f>+IF(ISERROR(VLOOKUP($E$2,Steel!$A$6:$H$2998,4,0)),0,VLOOKUP($E$2,Steel!$A$6:$H$2998,4,0))</f>
        <v>482.66879644273098</v>
      </c>
      <c r="I11" s="355">
        <f>+IF(ISERROR(VLOOKUP($E$2,Steel!$A$6:$H$2998,5,0)),0,VLOOKUP($E$2,Steel!$A$6:$H$2998,5,0))</f>
        <v>463</v>
      </c>
      <c r="J11" s="168"/>
      <c r="K11" s="64"/>
      <c r="M11" s="169"/>
    </row>
    <row r="12" spans="1:13" s="25" customFormat="1" ht="34.5" hidden="1" customHeight="1" x14ac:dyDescent="0.35">
      <c r="A12" s="166">
        <v>8</v>
      </c>
      <c r="B12" s="167" t="s">
        <v>1006</v>
      </c>
      <c r="C12" s="166" t="s">
        <v>2</v>
      </c>
      <c r="D12" s="326">
        <f>+IF(ISERROR(VLOOKUP($E$2,'SiMn 6014'!$A$7:$G$163,3,0)),0,VLOOKUP($E$2,'SiMn 6014'!$A$7:$G$163,3,0))</f>
        <v>0</v>
      </c>
      <c r="E12" s="332">
        <f>+IF(ISERROR(VLOOKUP($L$1,'SiMn 6014'!$A$6:$G$300,7,0)),0,VLOOKUP($L$1,'SiMn 6014'!$A$6:G$300,7,0))</f>
        <v>0</v>
      </c>
      <c r="F12" s="327" t="s">
        <v>3</v>
      </c>
      <c r="G12" s="326">
        <f>+IF(ISERROR(VLOOKUP($E$2,'SiMn 6014'!$A$7:$G$163,2,0)),0,VLOOKUP($E$2,'SiMn 6014'!$A$7:$G$163,2,0))</f>
        <v>0</v>
      </c>
      <c r="H12" s="326">
        <f>+IF(ISERROR(VLOOKUP($E$2,'SiMn 6014'!$A$7:$G$163,4,0)),0,VLOOKUP($E$2,'SiMn 6014'!$A$7:$G$163,4,0))</f>
        <v>0</v>
      </c>
      <c r="I12" s="355" t="s">
        <v>1024</v>
      </c>
      <c r="J12" s="168"/>
      <c r="K12" s="64"/>
      <c r="M12" s="169"/>
    </row>
    <row r="13" spans="1:13" s="25" customFormat="1" ht="34.5" hidden="1" customHeight="1" x14ac:dyDescent="0.35">
      <c r="A13" s="166">
        <v>9</v>
      </c>
      <c r="B13" s="167" t="s">
        <v>1007</v>
      </c>
      <c r="C13" s="166" t="s">
        <v>2</v>
      </c>
      <c r="D13" s="326">
        <f>+IF(ISERROR(VLOOKUP($E$2,'SiMn 6517'!$A$7:$G$163,3,0)),0,VLOOKUP($E$2,'SiMn 6517'!$A$7:$G$163,3,0))</f>
        <v>0</v>
      </c>
      <c r="E13" s="328">
        <f>+IF(ISERROR(VLOOKUP($L$1,'SiMn 6517'!A6:$G$300,7,0)),0,VLOOKUP($L$1,'SiMn 6517'!A6:G$300,7,0))</f>
        <v>0</v>
      </c>
      <c r="F13" s="327" t="s">
        <v>3</v>
      </c>
      <c r="G13" s="326">
        <f>+IF(ISERROR(VLOOKUP($E$2,'SiMn 6517'!$A$7:$G$163,2,0)),0,VLOOKUP($E$2,'SiMn 6517'!$A$7:$G$163,2,0))</f>
        <v>0</v>
      </c>
      <c r="H13" s="326">
        <f>+IF(ISERROR(VLOOKUP($E$2,'SiMn 6517'!$A$7:$G$163,4,0)),0,VLOOKUP($E$2,'SiMn 6517'!$A$7:$G$163,4,0))</f>
        <v>0</v>
      </c>
      <c r="I13" s="355" t="s">
        <v>1024</v>
      </c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43487</v>
      </c>
      <c r="C15" s="182" t="s">
        <v>1002</v>
      </c>
      <c r="D15" s="192">
        <f>+IF(ISERROR(VLOOKUP($E$2,'CNY-VND'!$A$4:$B$500,2,0)),0,VLOOKUP($E$2,'CNY-VND'!$A$4:$B$500,2,0))</f>
        <v>3439</v>
      </c>
      <c r="E15" s="386" t="s">
        <v>1000</v>
      </c>
      <c r="F15" s="386"/>
      <c r="G15" s="386"/>
      <c r="H15" s="386"/>
      <c r="I15" s="386"/>
    </row>
    <row r="16" spans="1:13" ht="15.75" customHeight="1" x14ac:dyDescent="0.3">
      <c r="A16" s="182"/>
      <c r="B16" s="191"/>
      <c r="C16" s="182" t="s">
        <v>1001</v>
      </c>
      <c r="D16" s="192">
        <f>+IF(ISERROR(VLOOKUP($E$2,VNĐ_USD!$A$131:$B$1000,2,0)),0,VLOOKUP($E$2,VNĐ_USD!$A$131:$B$1000,2,0))</f>
        <v>23245</v>
      </c>
      <c r="E16" s="386" t="s">
        <v>1003</v>
      </c>
      <c r="F16" s="386"/>
      <c r="G16" s="386"/>
      <c r="H16" s="386"/>
      <c r="I16" s="386"/>
      <c r="L16" s="300"/>
    </row>
    <row r="17" spans="1:12" ht="15.75" customHeight="1" x14ac:dyDescent="0.3">
      <c r="A17" s="182"/>
      <c r="B17" s="191"/>
      <c r="C17" s="182" t="s">
        <v>1020</v>
      </c>
      <c r="D17" s="353">
        <f>+IF(ISERROR(VLOOKUP($E$2,USD_CNY!$A$1:$B$2001,2,0)),0,VLOOKUP($E$2,USD_CNY!$A$1:$B$2001,2,0))</f>
        <v>6.7998000000000003</v>
      </c>
      <c r="E17" s="354" t="s">
        <v>1021</v>
      </c>
      <c r="F17" s="352"/>
      <c r="G17" s="352"/>
      <c r="H17" s="352"/>
      <c r="I17" s="352"/>
      <c r="L17" s="300"/>
    </row>
    <row r="18" spans="1:12" ht="17.5" x14ac:dyDescent="0.35">
      <c r="A18" s="387" t="s">
        <v>17</v>
      </c>
      <c r="B18" s="387"/>
      <c r="C18" s="387"/>
      <c r="D18" s="387"/>
      <c r="E18" s="387"/>
      <c r="F18" s="387"/>
      <c r="G18" s="387"/>
      <c r="H18" s="387"/>
      <c r="I18" s="387"/>
    </row>
    <row r="19" spans="1:12" ht="15.75" customHeight="1" x14ac:dyDescent="0.3">
      <c r="A19" s="381" t="s">
        <v>656</v>
      </c>
      <c r="B19" s="382"/>
      <c r="C19" s="381" t="s">
        <v>18</v>
      </c>
      <c r="D19" s="383"/>
      <c r="E19" s="383"/>
      <c r="F19" s="383"/>
      <c r="G19" s="383"/>
      <c r="H19" s="383"/>
      <c r="I19" s="383"/>
    </row>
    <row r="34" spans="1:12" ht="15" customHeight="1" x14ac:dyDescent="0.3">
      <c r="A34" s="388" t="s">
        <v>657</v>
      </c>
      <c r="B34" s="388"/>
      <c r="C34" s="389" t="s">
        <v>4</v>
      </c>
      <c r="D34" s="389"/>
      <c r="E34" s="389"/>
      <c r="F34" s="389"/>
      <c r="G34" s="389"/>
      <c r="H34" s="389"/>
      <c r="I34" s="389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8" t="s">
        <v>705</v>
      </c>
      <c r="B49" s="388"/>
      <c r="C49" s="389" t="s">
        <v>706</v>
      </c>
      <c r="D49" s="389"/>
      <c r="E49" s="389"/>
      <c r="F49" s="389"/>
      <c r="G49" s="389"/>
      <c r="H49" s="389"/>
      <c r="I49" s="389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8" t="s">
        <v>721</v>
      </c>
      <c r="B67" s="388"/>
      <c r="C67" s="389" t="s">
        <v>722</v>
      </c>
      <c r="D67" s="389"/>
      <c r="E67" s="389"/>
      <c r="F67" s="389"/>
      <c r="G67" s="389"/>
      <c r="H67" s="389"/>
      <c r="I67" s="389"/>
    </row>
    <row r="82" spans="1:9" x14ac:dyDescent="0.3">
      <c r="A82" s="388" t="s">
        <v>759</v>
      </c>
      <c r="B82" s="388"/>
      <c r="C82" s="389" t="s">
        <v>760</v>
      </c>
      <c r="D82" s="389"/>
      <c r="E82" s="389"/>
      <c r="F82" s="389"/>
      <c r="G82" s="389"/>
      <c r="H82" s="389"/>
      <c r="I82" s="389"/>
    </row>
    <row r="100" spans="1:9" x14ac:dyDescent="0.3">
      <c r="A100" s="390" t="s">
        <v>1028</v>
      </c>
      <c r="B100" s="390"/>
      <c r="C100" s="390"/>
      <c r="D100" s="390"/>
      <c r="E100" s="390"/>
      <c r="F100" s="390"/>
      <c r="G100" s="390"/>
      <c r="H100" s="390"/>
      <c r="I100" s="390"/>
    </row>
    <row r="115" spans="1:9" x14ac:dyDescent="0.3">
      <c r="A115" s="390" t="s">
        <v>1029</v>
      </c>
      <c r="B115" s="390"/>
      <c r="C115" s="390"/>
      <c r="D115" s="390"/>
      <c r="E115" s="390"/>
      <c r="F115" s="390"/>
      <c r="G115" s="390"/>
      <c r="H115" s="390"/>
      <c r="I115" s="390"/>
    </row>
    <row r="128" spans="1:9" x14ac:dyDescent="0.3">
      <c r="A128" s="390" t="s">
        <v>1005</v>
      </c>
      <c r="B128" s="390"/>
      <c r="C128" s="390"/>
      <c r="D128" s="390"/>
      <c r="E128" s="390"/>
      <c r="F128" s="390"/>
      <c r="G128" s="390"/>
      <c r="H128" s="390"/>
      <c r="I128" s="390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11" activePane="bottomLeft" state="frozen"/>
      <selection pane="bottomLeft" activeCell="C19" sqref="C19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1032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350">
        <v>43433</v>
      </c>
      <c r="B14" s="110">
        <f t="shared" si="0"/>
        <v>1246.7408177178445</v>
      </c>
      <c r="C14" s="284">
        <v>8650</v>
      </c>
      <c r="D14" s="110">
        <f t="shared" ref="D14:D21" si="3">+IF(ISERROR(B14/1.17),0,B14/1.17)</f>
        <v>1065.5904424938842</v>
      </c>
      <c r="E14" s="284"/>
      <c r="F14" s="330">
        <f>USD_CNY!B994</f>
        <v>6.9380899999999999</v>
      </c>
      <c r="G14" s="106">
        <v>0</v>
      </c>
    </row>
    <row r="15" spans="1:10" x14ac:dyDescent="0.3">
      <c r="A15" s="350">
        <v>43434</v>
      </c>
      <c r="B15" s="111">
        <f t="shared" si="0"/>
        <v>1247.3412884386603</v>
      </c>
      <c r="C15" s="284">
        <v>8650</v>
      </c>
      <c r="D15" s="110">
        <f t="shared" si="3"/>
        <v>1066.1036653321883</v>
      </c>
      <c r="E15" s="284"/>
      <c r="F15" s="330">
        <f>USD_CNY!B995</f>
        <v>6.9347500000000002</v>
      </c>
      <c r="G15" s="106">
        <f t="shared" si="1"/>
        <v>0</v>
      </c>
    </row>
    <row r="16" spans="1:10" x14ac:dyDescent="0.3">
      <c r="A16" s="350">
        <v>43437</v>
      </c>
      <c r="B16" s="111">
        <f t="shared" si="0"/>
        <v>1250.4354840341796</v>
      </c>
      <c r="C16" s="284">
        <v>8650</v>
      </c>
      <c r="D16" s="110">
        <f t="shared" si="3"/>
        <v>1068.7482769522903</v>
      </c>
      <c r="E16" s="284"/>
      <c r="F16" s="330">
        <f>USD_CNY!B996</f>
        <v>6.9175899999999997</v>
      </c>
      <c r="G16" s="106">
        <f t="shared" si="1"/>
        <v>0</v>
      </c>
    </row>
    <row r="17" spans="1:7" x14ac:dyDescent="0.3">
      <c r="A17" s="350">
        <v>43438</v>
      </c>
      <c r="B17" s="111">
        <f t="shared" si="0"/>
        <v>1258.6633141114346</v>
      </c>
      <c r="C17" s="284">
        <v>8650</v>
      </c>
      <c r="D17" s="110">
        <f t="shared" si="3"/>
        <v>1075.7806103516536</v>
      </c>
      <c r="E17" s="284"/>
      <c r="F17" s="330">
        <f>USD_CNY!B997</f>
        <v>6.8723700000000001</v>
      </c>
      <c r="G17" s="106">
        <f t="shared" si="1"/>
        <v>0</v>
      </c>
    </row>
    <row r="18" spans="1:7" x14ac:dyDescent="0.3">
      <c r="A18" s="350">
        <v>43439</v>
      </c>
      <c r="B18" s="111">
        <f t="shared" si="0"/>
        <v>1263.1222337258016</v>
      </c>
      <c r="C18" s="284">
        <v>8650</v>
      </c>
      <c r="D18" s="110">
        <f t="shared" si="3"/>
        <v>1079.5916527570955</v>
      </c>
      <c r="E18" s="284"/>
      <c r="F18" s="330">
        <f>USD_CNY!B998</f>
        <v>6.8481100000000001</v>
      </c>
      <c r="G18" s="106">
        <f t="shared" si="1"/>
        <v>0</v>
      </c>
    </row>
    <row r="19" spans="1:7" x14ac:dyDescent="0.3">
      <c r="A19" s="350">
        <v>43440</v>
      </c>
      <c r="B19" s="111">
        <f t="shared" si="0"/>
        <v>1261.5398077792524</v>
      </c>
      <c r="C19" s="284">
        <v>8650</v>
      </c>
      <c r="D19" s="110">
        <f t="shared" si="3"/>
        <v>1078.2391519480791</v>
      </c>
      <c r="E19" s="284"/>
      <c r="F19" s="330">
        <f>USD_CNY!B999</f>
        <v>6.8567</v>
      </c>
      <c r="G19" s="106">
        <f t="shared" si="1"/>
        <v>0</v>
      </c>
    </row>
    <row r="20" spans="1:7" x14ac:dyDescent="0.3">
      <c r="A20" s="350">
        <v>43441</v>
      </c>
      <c r="B20" s="111">
        <f t="shared" si="0"/>
        <v>0</v>
      </c>
      <c r="C20" s="284"/>
      <c r="D20" s="110">
        <f t="shared" si="3"/>
        <v>0</v>
      </c>
      <c r="E20" s="284"/>
      <c r="F20" s="330">
        <f>USD_CNY!B1000</f>
        <v>6.9106699999999996</v>
      </c>
      <c r="G20" s="106">
        <f>+C20-C19</f>
        <v>-8650</v>
      </c>
    </row>
    <row r="21" spans="1:7" x14ac:dyDescent="0.3">
      <c r="A21" s="252"/>
      <c r="B21" s="111" t="str">
        <f t="shared" si="0"/>
        <v/>
      </c>
      <c r="C21" s="284"/>
      <c r="D21" s="110">
        <f t="shared" si="3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4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4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4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4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4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4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4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4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4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4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4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4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4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4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4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4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4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4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4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4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4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4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4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4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4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4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4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4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4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4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4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4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4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4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4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4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4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4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4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4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4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4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4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4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4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4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4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4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4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4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4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4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4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4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4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4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4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4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4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4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4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4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4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4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5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5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5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5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5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5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5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5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5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5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5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5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5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5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5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5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5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5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5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5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5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5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5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6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6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6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6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6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6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6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6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8"/>
  <sheetViews>
    <sheetView workbookViewId="0">
      <pane ySplit="3" topLeftCell="A1009" activePane="bottomLeft" state="frozen"/>
      <selection pane="bottomLeft" activeCell="B1024" sqref="B1024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9" t="s">
        <v>1019</v>
      </c>
      <c r="B1" s="400"/>
      <c r="C1" s="400"/>
      <c r="D1" s="400"/>
      <c r="E1" s="400"/>
      <c r="F1" s="400"/>
      <c r="G1" s="400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1004</v>
      </c>
      <c r="B908" s="102">
        <v>6.9085999999999999</v>
      </c>
    </row>
    <row r="909" spans="1:3" x14ac:dyDescent="0.35">
      <c r="A909" s="139"/>
      <c r="B909" s="132"/>
      <c r="C909" s="342" t="s">
        <v>1019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>
        <v>6.9099000000000004</v>
      </c>
    </row>
    <row r="978" spans="1:2" x14ac:dyDescent="0.35">
      <c r="A978" s="225">
        <v>43411</v>
      </c>
      <c r="B978" s="341">
        <v>6.9208299999999996</v>
      </c>
    </row>
    <row r="979" spans="1:2" x14ac:dyDescent="0.35">
      <c r="A979" s="225">
        <v>43412</v>
      </c>
      <c r="B979" s="341">
        <v>6.9172700000000003</v>
      </c>
    </row>
    <row r="980" spans="1:2" x14ac:dyDescent="0.35">
      <c r="A980" s="225">
        <v>43413</v>
      </c>
      <c r="B980" s="341">
        <v>6.9470700000000001</v>
      </c>
    </row>
    <row r="981" spans="1:2" x14ac:dyDescent="0.35">
      <c r="A981" s="225">
        <v>43416</v>
      </c>
      <c r="B981" s="341">
        <v>6.9470700000000001</v>
      </c>
    </row>
    <row r="982" spans="1:2" x14ac:dyDescent="0.35">
      <c r="A982" s="225">
        <v>43417</v>
      </c>
      <c r="B982" s="341">
        <v>6.9607700000000001</v>
      </c>
    </row>
    <row r="983" spans="1:2" x14ac:dyDescent="0.35">
      <c r="A983" s="225">
        <v>43418</v>
      </c>
      <c r="B983" s="341">
        <v>6.9455799999999996</v>
      </c>
    </row>
    <row r="984" spans="1:2" x14ac:dyDescent="0.35">
      <c r="A984" s="225">
        <v>43419</v>
      </c>
      <c r="B984" s="341">
        <v>6.9424900000000003</v>
      </c>
    </row>
    <row r="985" spans="1:2" x14ac:dyDescent="0.35">
      <c r="A985" s="225">
        <v>43420</v>
      </c>
      <c r="B985" s="341">
        <v>6.9262100000000002</v>
      </c>
    </row>
    <row r="986" spans="1:2" x14ac:dyDescent="0.35">
      <c r="A986" s="225">
        <v>43423</v>
      </c>
      <c r="B986" s="341">
        <v>6.91859</v>
      </c>
    </row>
    <row r="987" spans="1:2" x14ac:dyDescent="0.35">
      <c r="A987" s="225">
        <v>43424</v>
      </c>
      <c r="B987" s="341">
        <v>6.9322699999999999</v>
      </c>
    </row>
    <row r="988" spans="1:2" x14ac:dyDescent="0.35">
      <c r="A988" s="225">
        <v>43425</v>
      </c>
      <c r="B988" s="341">
        <v>6.944</v>
      </c>
    </row>
    <row r="989" spans="1:2" x14ac:dyDescent="0.35">
      <c r="A989" s="225">
        <v>43426</v>
      </c>
      <c r="B989" s="341">
        <v>6.9218200000000003</v>
      </c>
    </row>
    <row r="990" spans="1:2" x14ac:dyDescent="0.35">
      <c r="A990" s="225">
        <v>43427</v>
      </c>
      <c r="B990" s="341">
        <v>6.9218200000000003</v>
      </c>
    </row>
    <row r="991" spans="1:2" x14ac:dyDescent="0.35">
      <c r="A991" s="225">
        <v>43430</v>
      </c>
      <c r="B991" s="341">
        <v>6.9407500000000004</v>
      </c>
    </row>
    <row r="992" spans="1:2" x14ac:dyDescent="0.35">
      <c r="A992" s="225">
        <v>43431</v>
      </c>
      <c r="B992" s="341">
        <v>6.9499599999999999</v>
      </c>
    </row>
    <row r="993" spans="1:2" x14ac:dyDescent="0.35">
      <c r="A993" s="225">
        <v>43432</v>
      </c>
      <c r="B993" s="341">
        <v>6.9504999999999999</v>
      </c>
    </row>
    <row r="994" spans="1:2" x14ac:dyDescent="0.35">
      <c r="A994" s="225">
        <v>43433</v>
      </c>
      <c r="B994" s="341">
        <v>6.9380899999999999</v>
      </c>
    </row>
    <row r="995" spans="1:2" x14ac:dyDescent="0.35">
      <c r="A995" s="225">
        <v>43434</v>
      </c>
      <c r="B995" s="341">
        <v>6.9347500000000002</v>
      </c>
    </row>
    <row r="996" spans="1:2" x14ac:dyDescent="0.35">
      <c r="A996" s="225">
        <v>43437</v>
      </c>
      <c r="B996" s="341">
        <v>6.9175899999999997</v>
      </c>
    </row>
    <row r="997" spans="1:2" x14ac:dyDescent="0.35">
      <c r="A997" s="225">
        <v>43438</v>
      </c>
      <c r="B997" s="341">
        <v>6.8723700000000001</v>
      </c>
    </row>
    <row r="998" spans="1:2" x14ac:dyDescent="0.35">
      <c r="A998" s="225">
        <v>43439</v>
      </c>
      <c r="B998" s="341">
        <v>6.8481100000000001</v>
      </c>
    </row>
    <row r="999" spans="1:2" x14ac:dyDescent="0.35">
      <c r="A999" s="225">
        <v>43440</v>
      </c>
      <c r="B999" s="341">
        <v>6.8567</v>
      </c>
    </row>
    <row r="1000" spans="1:2" x14ac:dyDescent="0.35">
      <c r="A1000" s="225">
        <v>43445</v>
      </c>
      <c r="B1000" s="341">
        <v>6.9106699999999996</v>
      </c>
    </row>
    <row r="1001" spans="1:2" x14ac:dyDescent="0.35">
      <c r="A1001" s="225">
        <v>43446</v>
      </c>
      <c r="B1001" s="341">
        <v>6.9029100000000003</v>
      </c>
    </row>
    <row r="1002" spans="1:2" x14ac:dyDescent="0.35">
      <c r="A1002" s="225">
        <v>43447</v>
      </c>
      <c r="B1002" s="341">
        <v>6.8674900000000001</v>
      </c>
    </row>
    <row r="1003" spans="1:2" x14ac:dyDescent="0.35">
      <c r="A1003" s="225">
        <v>43448</v>
      </c>
      <c r="B1003" s="341">
        <v>6.8767300000000002</v>
      </c>
    </row>
    <row r="1004" spans="1:2" x14ac:dyDescent="0.35">
      <c r="A1004" s="225">
        <v>43451</v>
      </c>
      <c r="B1004" s="341">
        <v>6.8991899999999999</v>
      </c>
    </row>
    <row r="1005" spans="1:2" x14ac:dyDescent="0.35">
      <c r="A1005" s="225">
        <v>43452</v>
      </c>
      <c r="B1005" s="341">
        <v>6.8998100000000004</v>
      </c>
    </row>
    <row r="1006" spans="1:2" x14ac:dyDescent="0.35">
      <c r="A1006" s="225">
        <v>43453</v>
      </c>
      <c r="B1006" s="341">
        <v>6.88422</v>
      </c>
    </row>
    <row r="1007" spans="1:2" x14ac:dyDescent="0.35">
      <c r="A1007" s="225">
        <v>43454</v>
      </c>
      <c r="B1007" s="341">
        <v>6.9041399999999999</v>
      </c>
    </row>
    <row r="1008" spans="1:2" x14ac:dyDescent="0.35">
      <c r="A1008" s="225">
        <v>43459</v>
      </c>
      <c r="B1008" s="341">
        <v>6.8919699999999997</v>
      </c>
    </row>
    <row r="1009" spans="1:2" x14ac:dyDescent="0.35">
      <c r="A1009" s="225">
        <v>43460</v>
      </c>
      <c r="B1009" s="341">
        <v>6.9189999999999996</v>
      </c>
    </row>
    <row r="1010" spans="1:2" x14ac:dyDescent="0.35">
      <c r="A1010" s="225">
        <v>43461</v>
      </c>
      <c r="B1010" s="341">
        <v>6.8905799999999999</v>
      </c>
    </row>
    <row r="1011" spans="1:2" x14ac:dyDescent="0.35">
      <c r="A1011" s="225">
        <v>43462</v>
      </c>
      <c r="B1011" s="341">
        <v>6.8714899999999997</v>
      </c>
    </row>
    <row r="1012" spans="1:2" x14ac:dyDescent="0.35">
      <c r="A1012" s="225">
        <v>43467</v>
      </c>
      <c r="B1012" s="341">
        <v>6.8689</v>
      </c>
    </row>
    <row r="1013" spans="1:2" x14ac:dyDescent="0.35">
      <c r="A1013" s="225">
        <v>43468</v>
      </c>
      <c r="B1013" s="341">
        <v>6.8757700000000002</v>
      </c>
    </row>
    <row r="1014" spans="1:2" x14ac:dyDescent="0.35">
      <c r="A1014" s="225">
        <v>43469</v>
      </c>
      <c r="B1014" s="341">
        <v>6.8765400000000003</v>
      </c>
    </row>
    <row r="1015" spans="1:2" x14ac:dyDescent="0.35">
      <c r="A1015" s="225">
        <v>43472</v>
      </c>
      <c r="B1015" s="341">
        <v>6.8641199999999998</v>
      </c>
    </row>
    <row r="1016" spans="1:2" x14ac:dyDescent="0.35">
      <c r="A1016" s="225">
        <v>43473</v>
      </c>
      <c r="B1016" s="341">
        <v>6.8448399999999996</v>
      </c>
    </row>
    <row r="1017" spans="1:2" x14ac:dyDescent="0.35">
      <c r="A1017" s="225">
        <v>43474</v>
      </c>
      <c r="B1017" s="341">
        <v>6.8527899999999997</v>
      </c>
    </row>
    <row r="1018" spans="1:2" x14ac:dyDescent="0.35">
      <c r="A1018" s="225">
        <v>43475</v>
      </c>
      <c r="B1018" s="341">
        <v>6.8110099999999996</v>
      </c>
    </row>
    <row r="1019" spans="1:2" x14ac:dyDescent="0.35">
      <c r="A1019" s="225">
        <v>43480</v>
      </c>
      <c r="B1019" s="341">
        <v>6.7619100000000003</v>
      </c>
    </row>
    <row r="1020" spans="1:2" x14ac:dyDescent="0.35">
      <c r="A1020" s="225">
        <v>43481</v>
      </c>
      <c r="B1020" s="341">
        <v>6.77285</v>
      </c>
    </row>
    <row r="1021" spans="1:2" x14ac:dyDescent="0.35">
      <c r="A1021" s="225">
        <v>43482</v>
      </c>
      <c r="B1021" s="341">
        <v>6.7595000000000001</v>
      </c>
    </row>
    <row r="1022" spans="1:2" x14ac:dyDescent="0.35">
      <c r="A1022" s="225">
        <v>43483</v>
      </c>
      <c r="B1022" s="341">
        <v>6.7746899999999997</v>
      </c>
    </row>
    <row r="1023" spans="1:2" x14ac:dyDescent="0.35">
      <c r="A1023" s="225">
        <v>43486</v>
      </c>
      <c r="B1023" s="341">
        <v>6.8012100000000002</v>
      </c>
    </row>
    <row r="1024" spans="1:2" x14ac:dyDescent="0.35">
      <c r="A1024" s="225">
        <v>43487</v>
      </c>
      <c r="B1024" s="341">
        <v>6.7998000000000003</v>
      </c>
    </row>
    <row r="1025" spans="1:2" x14ac:dyDescent="0.35">
      <c r="A1025" s="225"/>
      <c r="B1025" s="341"/>
    </row>
    <row r="1026" spans="1:2" x14ac:dyDescent="0.35">
      <c r="A1026" s="225"/>
      <c r="B1026" s="341"/>
    </row>
    <row r="1027" spans="1:2" x14ac:dyDescent="0.35">
      <c r="A1027" s="225"/>
      <c r="B1027" s="341"/>
    </row>
    <row r="1028" spans="1:2" x14ac:dyDescent="0.35">
      <c r="A1028" s="125"/>
      <c r="B1028" s="341"/>
    </row>
    <row r="1029" spans="1:2" x14ac:dyDescent="0.35">
      <c r="A1029" s="125"/>
      <c r="B1029" s="341"/>
    </row>
    <row r="1030" spans="1:2" x14ac:dyDescent="0.35">
      <c r="A1030" s="125"/>
      <c r="B1030" s="341"/>
    </row>
    <row r="1031" spans="1:2" x14ac:dyDescent="0.35">
      <c r="A1031" s="125"/>
      <c r="B1031" s="341"/>
    </row>
    <row r="1032" spans="1:2" x14ac:dyDescent="0.35">
      <c r="A1032" s="125"/>
    </row>
    <row r="1033" spans="1:2" x14ac:dyDescent="0.35">
      <c r="A1033" s="125"/>
    </row>
    <row r="1034" spans="1:2" x14ac:dyDescent="0.35">
      <c r="A1034" s="125"/>
    </row>
    <row r="1035" spans="1:2" x14ac:dyDescent="0.35">
      <c r="A1035" s="125"/>
    </row>
    <row r="1036" spans="1:2" x14ac:dyDescent="0.35">
      <c r="A1036" s="125"/>
    </row>
    <row r="1037" spans="1:2" x14ac:dyDescent="0.35">
      <c r="A1037" s="125"/>
    </row>
    <row r="1038" spans="1:2" x14ac:dyDescent="0.35">
      <c r="A1038" s="125"/>
    </row>
    <row r="1039" spans="1:2" x14ac:dyDescent="0.35">
      <c r="A1039" s="125"/>
    </row>
    <row r="1040" spans="1:2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  <row r="1358" spans="1:1" x14ac:dyDescent="0.35">
      <c r="A1358" s="125"/>
    </row>
  </sheetData>
  <mergeCells count="1">
    <mergeCell ref="A1:G1"/>
  </mergeCells>
  <hyperlinks>
    <hyperlink ref="C909" r:id="rId1"/>
    <hyperlink ref="A1" r:id="rId2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93" activePane="bottomLeft" state="frozen"/>
      <selection pane="bottomLeft" activeCell="A504" sqref="A504:A505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998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1012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1014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>
        <v>23365</v>
      </c>
    </row>
    <row r="460" spans="1:3" ht="15.5" x14ac:dyDescent="0.35">
      <c r="A460" s="231">
        <v>43411</v>
      </c>
      <c r="B460" s="333">
        <v>23365</v>
      </c>
    </row>
    <row r="461" spans="1:3" ht="15.5" x14ac:dyDescent="0.35">
      <c r="A461" s="231">
        <v>43412</v>
      </c>
      <c r="B461" s="333">
        <v>23365</v>
      </c>
    </row>
    <row r="462" spans="1:3" ht="15.5" x14ac:dyDescent="0.35">
      <c r="A462" s="231">
        <v>43413</v>
      </c>
      <c r="B462" s="333">
        <v>23345</v>
      </c>
    </row>
    <row r="463" spans="1:3" ht="15.5" x14ac:dyDescent="0.35">
      <c r="A463" s="231">
        <v>43416</v>
      </c>
      <c r="B463" s="333">
        <v>23345</v>
      </c>
    </row>
    <row r="464" spans="1:3" ht="15.5" x14ac:dyDescent="0.35">
      <c r="A464" s="231">
        <v>43417</v>
      </c>
      <c r="B464" s="333">
        <v>23345</v>
      </c>
    </row>
    <row r="465" spans="1:2" ht="15.5" x14ac:dyDescent="0.35">
      <c r="A465" s="231">
        <v>43418</v>
      </c>
      <c r="B465" s="333">
        <v>23350</v>
      </c>
    </row>
    <row r="466" spans="1:2" ht="15.5" x14ac:dyDescent="0.35">
      <c r="A466" s="231">
        <v>43419</v>
      </c>
      <c r="B466" s="333">
        <v>23355</v>
      </c>
    </row>
    <row r="467" spans="1:2" ht="15.5" x14ac:dyDescent="0.35">
      <c r="A467" s="231">
        <v>43423</v>
      </c>
      <c r="B467" s="333">
        <v>23355</v>
      </c>
    </row>
    <row r="468" spans="1:2" ht="15.5" x14ac:dyDescent="0.35">
      <c r="A468" s="231">
        <v>43424</v>
      </c>
      <c r="B468" s="333">
        <v>23380</v>
      </c>
    </row>
    <row r="469" spans="1:2" ht="15.5" x14ac:dyDescent="0.35">
      <c r="A469" s="231">
        <v>43425</v>
      </c>
      <c r="B469" s="333">
        <v>23380</v>
      </c>
    </row>
    <row r="470" spans="1:2" ht="15.5" x14ac:dyDescent="0.35">
      <c r="A470" s="231">
        <v>43426</v>
      </c>
      <c r="B470" s="333">
        <v>23395</v>
      </c>
    </row>
    <row r="471" spans="1:2" ht="15.5" x14ac:dyDescent="0.35">
      <c r="A471" s="231">
        <v>43427</v>
      </c>
      <c r="B471" s="333">
        <v>23395</v>
      </c>
    </row>
    <row r="472" spans="1:2" ht="15.5" x14ac:dyDescent="0.35">
      <c r="A472" s="231">
        <v>43430</v>
      </c>
      <c r="B472" s="333">
        <v>23375</v>
      </c>
    </row>
    <row r="473" spans="1:2" ht="15.5" x14ac:dyDescent="0.35">
      <c r="A473" s="231">
        <v>43431</v>
      </c>
      <c r="B473" s="333">
        <v>23390</v>
      </c>
    </row>
    <row r="474" spans="1:2" ht="15.5" x14ac:dyDescent="0.35">
      <c r="A474" s="231">
        <v>43432</v>
      </c>
      <c r="B474" s="333">
        <v>23385</v>
      </c>
    </row>
    <row r="475" spans="1:2" ht="15.5" x14ac:dyDescent="0.35">
      <c r="A475" s="231">
        <v>43433</v>
      </c>
      <c r="B475" s="333">
        <v>23385</v>
      </c>
    </row>
    <row r="476" spans="1:2" ht="15.5" x14ac:dyDescent="0.35">
      <c r="A476" s="231">
        <v>43434</v>
      </c>
      <c r="B476" s="333">
        <v>23365</v>
      </c>
    </row>
    <row r="477" spans="1:2" ht="15.5" x14ac:dyDescent="0.35">
      <c r="A477" s="231">
        <v>43437</v>
      </c>
      <c r="B477" s="333">
        <v>23365</v>
      </c>
    </row>
    <row r="478" spans="1:2" ht="15.5" x14ac:dyDescent="0.35">
      <c r="A478" s="231">
        <v>43438</v>
      </c>
      <c r="B478" s="333">
        <v>23345</v>
      </c>
    </row>
    <row r="479" spans="1:2" ht="15.5" x14ac:dyDescent="0.35">
      <c r="A479" s="231">
        <v>43439</v>
      </c>
      <c r="B479" s="333">
        <v>23350</v>
      </c>
    </row>
    <row r="480" spans="1:2" ht="15.5" x14ac:dyDescent="0.35">
      <c r="A480" s="231">
        <v>43440</v>
      </c>
      <c r="B480" s="333">
        <v>23370</v>
      </c>
    </row>
    <row r="481" spans="1:2" ht="15.5" x14ac:dyDescent="0.35">
      <c r="A481" s="231">
        <v>43445</v>
      </c>
      <c r="B481" s="333">
        <v>23350</v>
      </c>
    </row>
    <row r="482" spans="1:2" ht="15.5" x14ac:dyDescent="0.35">
      <c r="A482" s="231">
        <v>43446</v>
      </c>
      <c r="B482" s="333">
        <v>23350</v>
      </c>
    </row>
    <row r="483" spans="1:2" ht="15.5" x14ac:dyDescent="0.35">
      <c r="A483" s="231">
        <v>43447</v>
      </c>
      <c r="B483" s="333">
        <v>23335</v>
      </c>
    </row>
    <row r="484" spans="1:2" ht="15.5" x14ac:dyDescent="0.35">
      <c r="A484" s="231">
        <v>43448</v>
      </c>
      <c r="B484" s="333">
        <v>23330</v>
      </c>
    </row>
    <row r="485" spans="1:2" ht="15.5" x14ac:dyDescent="0.35">
      <c r="A485" s="307">
        <v>43451</v>
      </c>
      <c r="B485" s="333">
        <v>23360</v>
      </c>
    </row>
    <row r="486" spans="1:2" ht="15.5" x14ac:dyDescent="0.35">
      <c r="A486" s="307">
        <v>43452</v>
      </c>
      <c r="B486" s="333">
        <v>23355</v>
      </c>
    </row>
    <row r="487" spans="1:2" ht="15.5" x14ac:dyDescent="0.35">
      <c r="A487" s="307">
        <v>43453</v>
      </c>
      <c r="B487" s="333">
        <v>23355</v>
      </c>
    </row>
    <row r="488" spans="1:2" ht="15.5" x14ac:dyDescent="0.35">
      <c r="A488" s="307">
        <v>43454</v>
      </c>
      <c r="B488" s="333">
        <v>23325</v>
      </c>
    </row>
    <row r="489" spans="1:2" ht="15.5" x14ac:dyDescent="0.35">
      <c r="A489" s="307">
        <v>43459</v>
      </c>
      <c r="B489" s="333">
        <v>23325</v>
      </c>
    </row>
    <row r="490" spans="1:2" ht="15.5" x14ac:dyDescent="0.35">
      <c r="A490" s="307">
        <v>43460</v>
      </c>
      <c r="B490" s="333">
        <v>23320</v>
      </c>
    </row>
    <row r="491" spans="1:2" ht="15.5" x14ac:dyDescent="0.35">
      <c r="A491" s="307">
        <v>43461</v>
      </c>
      <c r="B491" s="333">
        <v>23300</v>
      </c>
    </row>
    <row r="492" spans="1:2" ht="15.5" x14ac:dyDescent="0.35">
      <c r="A492" s="307">
        <v>43462</v>
      </c>
      <c r="B492" s="333">
        <v>23235</v>
      </c>
    </row>
    <row r="493" spans="1:2" ht="15.5" x14ac:dyDescent="0.35">
      <c r="A493" s="307">
        <v>43467</v>
      </c>
      <c r="B493" s="333">
        <v>23255</v>
      </c>
    </row>
    <row r="494" spans="1:2" ht="15.5" x14ac:dyDescent="0.35">
      <c r="A494" s="307">
        <v>43468</v>
      </c>
      <c r="B494" s="333">
        <v>23250</v>
      </c>
    </row>
    <row r="495" spans="1:2" ht="15.5" x14ac:dyDescent="0.35">
      <c r="A495" s="307">
        <v>43469</v>
      </c>
      <c r="B495" s="333">
        <v>23250</v>
      </c>
    </row>
    <row r="496" spans="1:2" ht="15.5" x14ac:dyDescent="0.35">
      <c r="A496" s="307">
        <v>43472</v>
      </c>
      <c r="B496" s="333">
        <v>23255</v>
      </c>
    </row>
    <row r="497" spans="1:2" ht="15.5" x14ac:dyDescent="0.35">
      <c r="A497" s="307">
        <v>43473</v>
      </c>
      <c r="B497" s="333">
        <v>23255</v>
      </c>
    </row>
    <row r="498" spans="1:2" ht="15.5" x14ac:dyDescent="0.35">
      <c r="A498" s="307">
        <v>43474</v>
      </c>
      <c r="B498" s="333">
        <v>23245</v>
      </c>
    </row>
    <row r="499" spans="1:2" ht="15.5" x14ac:dyDescent="0.35">
      <c r="A499" s="307">
        <v>43475</v>
      </c>
      <c r="B499" s="333">
        <v>23245</v>
      </c>
    </row>
    <row r="500" spans="1:2" ht="15.5" x14ac:dyDescent="0.35">
      <c r="A500" s="307">
        <v>43480</v>
      </c>
      <c r="B500" s="333">
        <v>23245</v>
      </c>
    </row>
    <row r="501" spans="1:2" ht="15.5" x14ac:dyDescent="0.35">
      <c r="A501" s="307">
        <v>43481</v>
      </c>
      <c r="B501" s="333">
        <v>23245</v>
      </c>
    </row>
    <row r="502" spans="1:2" ht="15.5" x14ac:dyDescent="0.35">
      <c r="A502" s="307">
        <v>43482</v>
      </c>
      <c r="B502" s="333">
        <v>23245</v>
      </c>
    </row>
    <row r="503" spans="1:2" ht="15.5" x14ac:dyDescent="0.35">
      <c r="A503" s="307">
        <v>43483</v>
      </c>
      <c r="B503" s="333">
        <v>23245</v>
      </c>
    </row>
    <row r="504" spans="1:2" ht="15.5" x14ac:dyDescent="0.35">
      <c r="A504" s="307">
        <v>43486</v>
      </c>
      <c r="B504" s="333">
        <v>23245</v>
      </c>
    </row>
    <row r="505" spans="1:2" ht="15.5" x14ac:dyDescent="0.35">
      <c r="A505" s="307">
        <v>43487</v>
      </c>
      <c r="B505" s="333">
        <v>23245</v>
      </c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44" activePane="bottomLeft" state="frozen"/>
      <selection pane="bottomLeft" activeCell="A360" sqref="A360:A361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401" t="s">
        <v>1017</v>
      </c>
      <c r="B1" s="402"/>
      <c r="C1" s="402"/>
      <c r="D1" s="402"/>
      <c r="E1" s="402"/>
      <c r="F1" s="402"/>
      <c r="G1" s="402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999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>
        <v>3402</v>
      </c>
    </row>
    <row r="316" spans="1:4" x14ac:dyDescent="0.35">
      <c r="A316" s="307">
        <v>43411</v>
      </c>
      <c r="B316" s="310">
        <v>3394</v>
      </c>
    </row>
    <row r="317" spans="1:4" x14ac:dyDescent="0.35">
      <c r="A317" s="307">
        <v>43412</v>
      </c>
      <c r="B317" s="310">
        <v>3394</v>
      </c>
    </row>
    <row r="318" spans="1:4" x14ac:dyDescent="0.35">
      <c r="A318" s="307">
        <v>43413</v>
      </c>
      <c r="B318" s="310">
        <v>3381</v>
      </c>
    </row>
    <row r="319" spans="1:4" x14ac:dyDescent="0.35">
      <c r="A319" s="307">
        <v>43416</v>
      </c>
      <c r="B319" s="310">
        <v>3381</v>
      </c>
    </row>
    <row r="320" spans="1:4" x14ac:dyDescent="0.35">
      <c r="A320" s="307">
        <v>43417</v>
      </c>
      <c r="B320" s="310">
        <v>3381</v>
      </c>
    </row>
    <row r="321" spans="1:2" x14ac:dyDescent="0.35">
      <c r="A321" s="307">
        <v>43418</v>
      </c>
      <c r="B321" s="310">
        <v>3382</v>
      </c>
    </row>
    <row r="322" spans="1:2" x14ac:dyDescent="0.35">
      <c r="A322" s="307">
        <v>43419</v>
      </c>
      <c r="B322" s="310">
        <v>3392</v>
      </c>
    </row>
    <row r="323" spans="1:2" x14ac:dyDescent="0.35">
      <c r="A323" s="307">
        <v>43423</v>
      </c>
      <c r="B323" s="310">
        <v>3392</v>
      </c>
    </row>
    <row r="324" spans="1:2" x14ac:dyDescent="0.35">
      <c r="A324" s="307">
        <v>43424</v>
      </c>
      <c r="B324" s="310">
        <v>3392</v>
      </c>
    </row>
    <row r="325" spans="1:2" x14ac:dyDescent="0.35">
      <c r="A325" s="307">
        <v>43425</v>
      </c>
      <c r="B325" s="310">
        <v>3392</v>
      </c>
    </row>
    <row r="326" spans="1:2" x14ac:dyDescent="0.35">
      <c r="A326" s="307">
        <v>43426</v>
      </c>
      <c r="B326" s="310">
        <v>3401</v>
      </c>
    </row>
    <row r="327" spans="1:2" x14ac:dyDescent="0.35">
      <c r="A327" s="307">
        <v>43427</v>
      </c>
      <c r="B327" s="310">
        <v>3401</v>
      </c>
    </row>
    <row r="328" spans="1:2" x14ac:dyDescent="0.35">
      <c r="A328" s="307">
        <v>43430</v>
      </c>
      <c r="B328" s="310">
        <v>3387</v>
      </c>
    </row>
    <row r="329" spans="1:2" x14ac:dyDescent="0.35">
      <c r="A329" s="307">
        <v>43431</v>
      </c>
      <c r="B329" s="310">
        <v>3391</v>
      </c>
    </row>
    <row r="330" spans="1:2" x14ac:dyDescent="0.35">
      <c r="A330" s="307">
        <v>43432</v>
      </c>
      <c r="B330" s="310">
        <v>3385</v>
      </c>
    </row>
    <row r="331" spans="1:2" x14ac:dyDescent="0.35">
      <c r="A331" s="307">
        <v>43433</v>
      </c>
      <c r="B331" s="310">
        <v>3391</v>
      </c>
    </row>
    <row r="332" spans="1:2" x14ac:dyDescent="0.35">
      <c r="A332" s="307">
        <v>43434</v>
      </c>
      <c r="B332" s="310">
        <v>3388</v>
      </c>
    </row>
    <row r="333" spans="1:2" x14ac:dyDescent="0.35">
      <c r="A333" s="307">
        <v>43437</v>
      </c>
      <c r="B333" s="310">
        <v>3395</v>
      </c>
    </row>
    <row r="334" spans="1:2" x14ac:dyDescent="0.35">
      <c r="A334" s="307">
        <v>43438</v>
      </c>
      <c r="B334" s="310">
        <v>3424</v>
      </c>
    </row>
    <row r="335" spans="1:2" x14ac:dyDescent="0.35">
      <c r="A335" s="307">
        <v>43439</v>
      </c>
      <c r="B335" s="310">
        <v>3434</v>
      </c>
    </row>
    <row r="336" spans="1:2" x14ac:dyDescent="0.35">
      <c r="A336" s="307">
        <v>43440</v>
      </c>
      <c r="B336" s="310">
        <v>3418</v>
      </c>
    </row>
    <row r="337" spans="1:2" x14ac:dyDescent="0.35">
      <c r="A337" s="307">
        <v>43445</v>
      </c>
      <c r="B337" s="310">
        <v>3405</v>
      </c>
    </row>
    <row r="338" spans="1:2" x14ac:dyDescent="0.35">
      <c r="A338" s="307">
        <v>43446</v>
      </c>
      <c r="B338" s="310">
        <v>3405</v>
      </c>
    </row>
    <row r="339" spans="1:2" x14ac:dyDescent="0.35">
      <c r="A339" s="307">
        <v>43447</v>
      </c>
      <c r="B339" s="310">
        <v>3418</v>
      </c>
    </row>
    <row r="340" spans="1:2" x14ac:dyDescent="0.35">
      <c r="A340" s="307">
        <v>43448</v>
      </c>
      <c r="B340" s="310">
        <v>3409</v>
      </c>
    </row>
    <row r="341" spans="1:2" x14ac:dyDescent="0.35">
      <c r="A341" s="307">
        <v>43451</v>
      </c>
      <c r="B341" s="310">
        <v>3409</v>
      </c>
    </row>
    <row r="342" spans="1:2" x14ac:dyDescent="0.35">
      <c r="A342" s="307">
        <v>43452</v>
      </c>
      <c r="B342" s="310">
        <v>3410</v>
      </c>
    </row>
    <row r="343" spans="1:2" x14ac:dyDescent="0.35">
      <c r="A343" s="307">
        <v>43453</v>
      </c>
      <c r="B343" s="310">
        <v>3410</v>
      </c>
    </row>
    <row r="344" spans="1:2" x14ac:dyDescent="0.35">
      <c r="A344" s="307">
        <v>43454</v>
      </c>
      <c r="B344" s="310">
        <v>3410</v>
      </c>
    </row>
    <row r="345" spans="1:2" x14ac:dyDescent="0.35">
      <c r="A345" s="307">
        <v>43459</v>
      </c>
      <c r="B345" s="310">
        <v>3410</v>
      </c>
    </row>
    <row r="346" spans="1:2" x14ac:dyDescent="0.35">
      <c r="A346" s="307">
        <v>43460</v>
      </c>
      <c r="B346" s="310">
        <v>3409</v>
      </c>
    </row>
    <row r="347" spans="1:2" x14ac:dyDescent="0.35">
      <c r="A347" s="307">
        <v>43461</v>
      </c>
      <c r="B347" s="310">
        <v>3410</v>
      </c>
    </row>
    <row r="348" spans="1:2" x14ac:dyDescent="0.35">
      <c r="A348" s="307">
        <v>43462</v>
      </c>
      <c r="B348" s="310">
        <v>3412</v>
      </c>
    </row>
    <row r="349" spans="1:2" x14ac:dyDescent="0.35">
      <c r="A349" s="307">
        <v>43467</v>
      </c>
      <c r="B349" s="310">
        <v>3415</v>
      </c>
    </row>
    <row r="350" spans="1:2" x14ac:dyDescent="0.35">
      <c r="A350" s="307">
        <v>43468</v>
      </c>
      <c r="B350" s="310">
        <v>3405</v>
      </c>
    </row>
    <row r="351" spans="1:2" x14ac:dyDescent="0.35">
      <c r="A351" s="307">
        <v>43469</v>
      </c>
      <c r="B351" s="310">
        <v>3409</v>
      </c>
    </row>
    <row r="352" spans="1:2" x14ac:dyDescent="0.35">
      <c r="A352" s="307">
        <v>43472</v>
      </c>
      <c r="B352" s="310">
        <v>3410</v>
      </c>
    </row>
    <row r="353" spans="1:2" x14ac:dyDescent="0.35">
      <c r="A353" s="307">
        <v>43473</v>
      </c>
      <c r="B353" s="310">
        <v>3412</v>
      </c>
    </row>
    <row r="354" spans="1:2" x14ac:dyDescent="0.35">
      <c r="A354" s="307">
        <v>43474</v>
      </c>
      <c r="B354" s="310">
        <v>3422</v>
      </c>
    </row>
    <row r="355" spans="1:2" x14ac:dyDescent="0.35">
      <c r="A355" s="307">
        <v>43475</v>
      </c>
      <c r="B355" s="310">
        <v>3447</v>
      </c>
    </row>
    <row r="356" spans="1:2" x14ac:dyDescent="0.35">
      <c r="A356" s="307">
        <v>43480</v>
      </c>
      <c r="B356" s="310">
        <v>3447</v>
      </c>
    </row>
    <row r="357" spans="1:2" x14ac:dyDescent="0.35">
      <c r="A357" s="307">
        <v>43481</v>
      </c>
      <c r="B357" s="310">
        <v>3459</v>
      </c>
    </row>
    <row r="358" spans="1:2" x14ac:dyDescent="0.35">
      <c r="A358" s="307">
        <v>43482</v>
      </c>
      <c r="B358" s="310">
        <v>3462</v>
      </c>
    </row>
    <row r="359" spans="1:2" x14ac:dyDescent="0.35">
      <c r="A359" s="307">
        <v>43483</v>
      </c>
      <c r="B359" s="310">
        <v>3453</v>
      </c>
    </row>
    <row r="360" spans="1:2" x14ac:dyDescent="0.35">
      <c r="A360" s="307">
        <v>43486</v>
      </c>
      <c r="B360" s="310">
        <v>3440</v>
      </c>
    </row>
    <row r="361" spans="1:2" x14ac:dyDescent="0.35">
      <c r="A361" s="307">
        <v>43487</v>
      </c>
      <c r="B361" s="310">
        <v>3439</v>
      </c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zoomScaleNormal="100" workbookViewId="0">
      <pane ySplit="4" topLeftCell="A1231" activePane="bottomLeft" state="frozen"/>
      <selection pane="bottomLeft" activeCell="E1239" sqref="E1239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91" t="s">
        <v>749</v>
      </c>
      <c r="B1" s="391"/>
      <c r="C1" s="391"/>
      <c r="D1" s="391"/>
      <c r="E1" s="391"/>
      <c r="F1" s="391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92" t="s">
        <v>750</v>
      </c>
      <c r="C3" s="393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5951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1011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238" si="33">+IF(F1188=0,"",C1188/F1188)</f>
        <v>7047.9524779751482</v>
      </c>
      <c r="C1188" s="267">
        <v>49120</v>
      </c>
      <c r="D1188" s="47">
        <f t="shared" ref="D1188:D1238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>
        <f t="shared" si="33"/>
        <v>7176.6595753918291</v>
      </c>
      <c r="C1192" s="267">
        <v>49590</v>
      </c>
      <c r="D1192" s="47">
        <f t="shared" si="34"/>
        <v>6133.8970729844696</v>
      </c>
      <c r="E1192" s="267">
        <v>6239</v>
      </c>
      <c r="F1192" s="170">
        <f>USD_CNY!B977</f>
        <v>6.9099000000000004</v>
      </c>
      <c r="G1192" s="162">
        <f t="shared" si="38"/>
        <v>-340</v>
      </c>
    </row>
    <row r="1193" spans="1:7" x14ac:dyDescent="0.35">
      <c r="A1193" s="344">
        <v>43411</v>
      </c>
      <c r="B1193" s="47">
        <f t="shared" si="33"/>
        <v>7149.4314988231181</v>
      </c>
      <c r="C1193" s="267">
        <v>49480</v>
      </c>
      <c r="D1193" s="47">
        <f t="shared" si="34"/>
        <v>6110.6252126693316</v>
      </c>
      <c r="E1193" s="267">
        <v>6210</v>
      </c>
      <c r="F1193" s="170">
        <f>USD_CNY!B978</f>
        <v>6.9208299999999996</v>
      </c>
      <c r="G1193" s="162">
        <f t="shared" si="38"/>
        <v>-110</v>
      </c>
    </row>
    <row r="1194" spans="1:7" x14ac:dyDescent="0.35">
      <c r="A1194" s="344">
        <v>43412</v>
      </c>
      <c r="B1194" s="47">
        <f t="shared" si="33"/>
        <v>7169.0132089682775</v>
      </c>
      <c r="C1194" s="267">
        <v>49590</v>
      </c>
      <c r="D1194" s="47">
        <f t="shared" si="34"/>
        <v>6127.361717066904</v>
      </c>
      <c r="E1194" s="267">
        <v>6210</v>
      </c>
      <c r="F1194" s="170">
        <f>USD_CNY!B979</f>
        <v>6.9172700000000003</v>
      </c>
      <c r="G1194" s="162">
        <f t="shared" si="38"/>
        <v>110</v>
      </c>
    </row>
    <row r="1195" spans="1:7" x14ac:dyDescent="0.35">
      <c r="A1195" s="344">
        <v>43413</v>
      </c>
      <c r="B1195" s="47">
        <f t="shared" si="33"/>
        <v>7138.2611662182762</v>
      </c>
      <c r="C1195" s="267">
        <v>49590</v>
      </c>
      <c r="D1195" s="47">
        <f t="shared" si="34"/>
        <v>6101.0779198446808</v>
      </c>
      <c r="E1195" s="267">
        <v>6210</v>
      </c>
      <c r="F1195" s="170">
        <f>USD_CNY!B980</f>
        <v>6.9470700000000001</v>
      </c>
      <c r="G1195" s="162">
        <f t="shared" si="38"/>
        <v>0</v>
      </c>
    </row>
    <row r="1196" spans="1:7" x14ac:dyDescent="0.35">
      <c r="A1196" s="225">
        <v>43416</v>
      </c>
      <c r="B1196" s="47">
        <f t="shared" si="33"/>
        <v>7070.60674500185</v>
      </c>
      <c r="C1196" s="267">
        <f>C1197+305</f>
        <v>49120</v>
      </c>
      <c r="D1196" s="47">
        <f t="shared" si="34"/>
        <v>6043.2536282067094</v>
      </c>
      <c r="E1196" s="267">
        <v>6210</v>
      </c>
      <c r="F1196" s="170">
        <f>USD_CNY!B981</f>
        <v>6.9470700000000001</v>
      </c>
      <c r="G1196" s="162">
        <f t="shared" ref="G1196:G1197" si="39">+C1196-C1195</f>
        <v>-470</v>
      </c>
    </row>
    <row r="1197" spans="1:7" x14ac:dyDescent="0.35">
      <c r="A1197" s="225">
        <v>43417</v>
      </c>
      <c r="B1197" s="47">
        <f t="shared" si="33"/>
        <v>7012.873575768198</v>
      </c>
      <c r="C1197" s="267">
        <v>48815</v>
      </c>
      <c r="D1197" s="47">
        <f t="shared" si="34"/>
        <v>5993.909039118118</v>
      </c>
      <c r="E1197" s="267">
        <v>6083.5</v>
      </c>
      <c r="F1197" s="170">
        <f>USD_CNY!B982</f>
        <v>6.9607700000000001</v>
      </c>
      <c r="G1197" s="162">
        <f t="shared" si="39"/>
        <v>-305</v>
      </c>
    </row>
    <row r="1198" spans="1:7" x14ac:dyDescent="0.35">
      <c r="A1198" s="225">
        <v>43418</v>
      </c>
      <c r="B1198" s="47">
        <f t="shared" si="33"/>
        <v>7043.3282749604787</v>
      </c>
      <c r="C1198" s="267">
        <v>48920</v>
      </c>
      <c r="D1198" s="47">
        <f t="shared" si="34"/>
        <v>6019.9386965474177</v>
      </c>
      <c r="E1198" s="267">
        <v>6130</v>
      </c>
      <c r="F1198" s="170">
        <f>USD_CNY!B983</f>
        <v>6.9455799999999996</v>
      </c>
      <c r="G1198" s="162">
        <f t="shared" ref="G1198:G1200" si="40">+C1198-C1197</f>
        <v>105</v>
      </c>
    </row>
    <row r="1199" spans="1:7" x14ac:dyDescent="0.35">
      <c r="A1199" s="225">
        <v>43419</v>
      </c>
      <c r="B1199" s="47">
        <f t="shared" si="33"/>
        <v>7073.8308589569442</v>
      </c>
      <c r="C1199" s="267">
        <v>49110</v>
      </c>
      <c r="D1199" s="47">
        <f t="shared" si="34"/>
        <v>6046.0092811597815</v>
      </c>
      <c r="E1199" s="267">
        <v>6106</v>
      </c>
      <c r="F1199" s="170">
        <f>USD_CNY!B984</f>
        <v>6.9424900000000003</v>
      </c>
      <c r="G1199" s="162">
        <f t="shared" si="40"/>
        <v>190</v>
      </c>
    </row>
    <row r="1200" spans="1:7" x14ac:dyDescent="0.35">
      <c r="A1200" s="225">
        <v>43423</v>
      </c>
      <c r="B1200" s="47">
        <f t="shared" si="33"/>
        <v>7194.3849830673589</v>
      </c>
      <c r="C1200" s="267">
        <f>C1201-75</f>
        <v>49775</v>
      </c>
      <c r="D1200" s="47">
        <f t="shared" si="34"/>
        <v>6149.0469940746661</v>
      </c>
      <c r="E1200" s="267"/>
      <c r="F1200" s="170">
        <f>USD_CNY!B986</f>
        <v>6.91859</v>
      </c>
      <c r="G1200" s="162">
        <f t="shared" si="40"/>
        <v>665</v>
      </c>
    </row>
    <row r="1201" spans="1:7" x14ac:dyDescent="0.35">
      <c r="A1201" s="225">
        <v>43424</v>
      </c>
      <c r="B1201" s="47">
        <f t="shared" si="33"/>
        <v>7191.0066976618045</v>
      </c>
      <c r="C1201" s="267">
        <v>49850</v>
      </c>
      <c r="D1201" s="47">
        <f t="shared" si="34"/>
        <v>6146.1595706511152</v>
      </c>
      <c r="E1201" s="267">
        <v>6260</v>
      </c>
      <c r="F1201" s="170">
        <f>USD_CNY!B987</f>
        <v>6.9322699999999999</v>
      </c>
      <c r="G1201" s="162">
        <f t="shared" ref="G1201" si="41">+C1201-C1200</f>
        <v>75</v>
      </c>
    </row>
    <row r="1202" spans="1:7" x14ac:dyDescent="0.35">
      <c r="A1202" s="225">
        <v>43425</v>
      </c>
      <c r="B1202" s="47">
        <f t="shared" si="33"/>
        <v>7107.574884792627</v>
      </c>
      <c r="C1202" s="267">
        <v>49355</v>
      </c>
      <c r="D1202" s="47">
        <f t="shared" si="34"/>
        <v>6074.8503288825877</v>
      </c>
      <c r="E1202" s="267">
        <v>6262</v>
      </c>
      <c r="F1202" s="170">
        <f>USD_CNY!B988</f>
        <v>6.944</v>
      </c>
      <c r="G1202" s="162">
        <f t="shared" ref="G1202:G1205" si="42">+C1202-C1201</f>
        <v>-495</v>
      </c>
    </row>
    <row r="1203" spans="1:7" x14ac:dyDescent="0.35">
      <c r="A1203" s="225">
        <v>43426</v>
      </c>
      <c r="B1203" s="47">
        <f t="shared" si="33"/>
        <v>7161.4113051191734</v>
      </c>
      <c r="C1203" s="267">
        <v>49570</v>
      </c>
      <c r="D1203" s="47">
        <f t="shared" si="34"/>
        <v>6120.8643633497213</v>
      </c>
      <c r="E1203" s="267">
        <v>6242</v>
      </c>
      <c r="F1203" s="170">
        <f>USD_CNY!B989</f>
        <v>6.9218200000000003</v>
      </c>
      <c r="G1203" s="162">
        <f t="shared" si="42"/>
        <v>215</v>
      </c>
    </row>
    <row r="1204" spans="1:7" x14ac:dyDescent="0.35">
      <c r="A1204" s="225">
        <v>43427</v>
      </c>
      <c r="B1204" s="47">
        <f t="shared" si="33"/>
        <v>7161.4113051191734</v>
      </c>
      <c r="C1204" s="267">
        <v>49570</v>
      </c>
      <c r="D1204" s="47">
        <f t="shared" si="34"/>
        <v>6120.8643633497213</v>
      </c>
      <c r="E1204" s="267">
        <v>6242</v>
      </c>
      <c r="F1204" s="170">
        <f>USD_CNY!B990</f>
        <v>6.9218200000000003</v>
      </c>
      <c r="G1204" s="162">
        <f t="shared" si="42"/>
        <v>0</v>
      </c>
    </row>
    <row r="1205" spans="1:7" x14ac:dyDescent="0.35">
      <c r="A1205" s="225">
        <v>43430</v>
      </c>
      <c r="B1205" s="47">
        <f t="shared" si="33"/>
        <v>7120.988365810611</v>
      </c>
      <c r="C1205" s="267">
        <f>C1206+105</f>
        <v>49425</v>
      </c>
      <c r="D1205" s="47">
        <f t="shared" si="34"/>
        <v>6086.3148425731724</v>
      </c>
      <c r="E1205" s="267">
        <v>6210</v>
      </c>
      <c r="F1205" s="170">
        <f>USD_CNY!B991</f>
        <v>6.9407500000000004</v>
      </c>
      <c r="G1205" s="162">
        <f t="shared" si="42"/>
        <v>-145</v>
      </c>
    </row>
    <row r="1206" spans="1:7" x14ac:dyDescent="0.35">
      <c r="A1206" s="225">
        <v>43431</v>
      </c>
      <c r="B1206" s="47">
        <f t="shared" si="33"/>
        <v>7096.4437205393988</v>
      </c>
      <c r="C1206" s="267">
        <v>49320</v>
      </c>
      <c r="D1206" s="47">
        <f t="shared" si="34"/>
        <v>6065.3365132815379</v>
      </c>
      <c r="E1206" s="267">
        <v>6246</v>
      </c>
      <c r="F1206" s="170">
        <f>USD_CNY!B992</f>
        <v>6.9499599999999999</v>
      </c>
      <c r="G1206" s="162">
        <f t="shared" ref="G1206" si="43">+C1206-C1205</f>
        <v>-105</v>
      </c>
    </row>
    <row r="1207" spans="1:7" x14ac:dyDescent="0.35">
      <c r="A1207" s="225">
        <v>43432</v>
      </c>
      <c r="B1207" s="47">
        <f t="shared" si="33"/>
        <v>7064.2399827350555</v>
      </c>
      <c r="C1207" s="267">
        <v>49100</v>
      </c>
      <c r="D1207" s="47">
        <f t="shared" si="34"/>
        <v>6037.8119510556035</v>
      </c>
      <c r="E1207" s="267">
        <v>6169</v>
      </c>
      <c r="F1207" s="170">
        <f>USD_CNY!B993</f>
        <v>6.9504999999999999</v>
      </c>
      <c r="G1207" s="162">
        <f t="shared" ref="G1207:G1209" si="44">+C1207-C1206</f>
        <v>-220</v>
      </c>
    </row>
    <row r="1208" spans="1:7" x14ac:dyDescent="0.35">
      <c r="A1208" s="225">
        <v>43433</v>
      </c>
      <c r="B1208" s="47">
        <f t="shared" si="33"/>
        <v>7166.2373938648825</v>
      </c>
      <c r="C1208" s="267">
        <v>49720</v>
      </c>
      <c r="D1208" s="47">
        <f t="shared" si="34"/>
        <v>6124.9892255255409</v>
      </c>
      <c r="E1208" s="267">
        <v>6198</v>
      </c>
      <c r="F1208" s="170">
        <f>USD_CNY!B994</f>
        <v>6.9380899999999999</v>
      </c>
      <c r="G1208" s="162">
        <f t="shared" si="44"/>
        <v>620</v>
      </c>
    </row>
    <row r="1209" spans="1:7" x14ac:dyDescent="0.35">
      <c r="A1209" s="225">
        <v>43434</v>
      </c>
      <c r="B1209" s="47">
        <f t="shared" si="33"/>
        <v>7168.967879159306</v>
      </c>
      <c r="C1209" s="267">
        <v>49715</v>
      </c>
      <c r="D1209" s="47">
        <f t="shared" si="34"/>
        <v>6127.3229736404328</v>
      </c>
      <c r="E1209" s="267">
        <v>6282</v>
      </c>
      <c r="F1209" s="170">
        <f>USD_CNY!B995</f>
        <v>6.9347500000000002</v>
      </c>
      <c r="G1209" s="162">
        <f t="shared" si="44"/>
        <v>-5</v>
      </c>
    </row>
    <row r="1210" spans="1:7" x14ac:dyDescent="0.35">
      <c r="A1210" s="225">
        <v>43437</v>
      </c>
      <c r="B1210" s="47">
        <f t="shared" si="33"/>
        <v>7282.1604055747739</v>
      </c>
      <c r="C1210" s="267">
        <v>50375</v>
      </c>
      <c r="D1210" s="47">
        <f t="shared" si="34"/>
        <v>6224.0687227134822</v>
      </c>
      <c r="E1210" s="267">
        <v>6238</v>
      </c>
      <c r="F1210" s="170">
        <f>USD_CNY!B996</f>
        <v>6.9175899999999997</v>
      </c>
      <c r="G1210" s="162">
        <f t="shared" ref="G1210:G1216" si="45">+C1210-C1209</f>
        <v>660</v>
      </c>
    </row>
    <row r="1211" spans="1:7" x14ac:dyDescent="0.35">
      <c r="A1211" s="225">
        <v>43438</v>
      </c>
      <c r="B1211" s="47">
        <f t="shared" si="33"/>
        <v>7272.6002819987862</v>
      </c>
      <c r="C1211" s="267">
        <v>49980</v>
      </c>
      <c r="D1211" s="47">
        <f t="shared" si="34"/>
        <v>6215.8976769220399</v>
      </c>
      <c r="E1211" s="267">
        <v>6037</v>
      </c>
      <c r="F1211" s="170">
        <f>USD_CNY!B997</f>
        <v>6.8723700000000001</v>
      </c>
      <c r="G1211" s="162">
        <f t="shared" si="45"/>
        <v>-395</v>
      </c>
    </row>
    <row r="1212" spans="1:7" x14ac:dyDescent="0.35">
      <c r="A1212" s="225">
        <v>43439</v>
      </c>
      <c r="B1212" s="47">
        <f t="shared" si="33"/>
        <v>7228.2717421303105</v>
      </c>
      <c r="C1212" s="267">
        <v>49500</v>
      </c>
      <c r="D1212" s="47">
        <f t="shared" si="34"/>
        <v>6178.0100360088127</v>
      </c>
      <c r="E1212" s="267">
        <v>6278</v>
      </c>
      <c r="F1212" s="170">
        <f>USD_CNY!B998</f>
        <v>6.8481100000000001</v>
      </c>
      <c r="G1212" s="162">
        <f t="shared" si="45"/>
        <v>-480</v>
      </c>
    </row>
    <row r="1213" spans="1:7" x14ac:dyDescent="0.35">
      <c r="A1213" s="225">
        <v>43440</v>
      </c>
      <c r="B1213" s="47">
        <f t="shared" si="33"/>
        <v>7197.3398281972377</v>
      </c>
      <c r="C1213" s="267">
        <v>49350</v>
      </c>
      <c r="D1213" s="47">
        <f t="shared" si="34"/>
        <v>6151.5725027326826</v>
      </c>
      <c r="E1213" s="267">
        <v>6162</v>
      </c>
      <c r="F1213" s="170">
        <f>USD_CNY!B999</f>
        <v>6.8567</v>
      </c>
      <c r="G1213" s="162">
        <f t="shared" si="45"/>
        <v>-150</v>
      </c>
    </row>
    <row r="1214" spans="1:7" x14ac:dyDescent="0.35">
      <c r="A1214" s="225">
        <v>43445</v>
      </c>
      <c r="B1214" s="47">
        <f t="shared" si="33"/>
        <v>7136.7899205142194</v>
      </c>
      <c r="C1214" s="267">
        <v>49320</v>
      </c>
      <c r="D1214" s="47">
        <f t="shared" si="34"/>
        <v>6099.8204448839488</v>
      </c>
      <c r="E1214" s="267">
        <v>6112</v>
      </c>
      <c r="F1214" s="170">
        <f>USD_CNY!B1000</f>
        <v>6.9106699999999996</v>
      </c>
      <c r="G1214" s="162">
        <v>-35</v>
      </c>
    </row>
    <row r="1215" spans="1:7" x14ac:dyDescent="0.35">
      <c r="A1215" s="225">
        <v>43446</v>
      </c>
      <c r="B1215" s="47">
        <f t="shared" si="33"/>
        <v>7143.3641753984912</v>
      </c>
      <c r="C1215" s="267">
        <f>C1216+95</f>
        <v>49310</v>
      </c>
      <c r="D1215" s="47">
        <f t="shared" si="34"/>
        <v>6105.4394661525566</v>
      </c>
      <c r="E1215" s="267">
        <v>6112</v>
      </c>
      <c r="F1215" s="170">
        <f>USD_CNY!B1001</f>
        <v>6.9029100000000003</v>
      </c>
      <c r="G1215" s="162">
        <f t="shared" si="45"/>
        <v>-10</v>
      </c>
    </row>
    <row r="1216" spans="1:7" x14ac:dyDescent="0.35">
      <c r="A1216" s="225">
        <v>43447</v>
      </c>
      <c r="B1216" s="47">
        <f t="shared" si="33"/>
        <v>7166.3737406243035</v>
      </c>
      <c r="C1216" s="267">
        <v>49215</v>
      </c>
      <c r="D1216" s="47">
        <f t="shared" si="34"/>
        <v>6125.1057612173536</v>
      </c>
      <c r="E1216" s="267">
        <v>6151</v>
      </c>
      <c r="F1216" s="170">
        <f>USD_CNY!B1002</f>
        <v>6.8674900000000001</v>
      </c>
      <c r="G1216" s="162">
        <f t="shared" si="45"/>
        <v>-95</v>
      </c>
    </row>
    <row r="1217" spans="1:7" x14ac:dyDescent="0.35">
      <c r="A1217" s="225">
        <v>43448</v>
      </c>
      <c r="B1217" s="47">
        <f t="shared" si="33"/>
        <v>7145.8382108938404</v>
      </c>
      <c r="C1217" s="267">
        <v>49140</v>
      </c>
      <c r="D1217" s="47">
        <f t="shared" si="34"/>
        <v>6107.5540264049923</v>
      </c>
      <c r="E1217" s="267">
        <v>6196</v>
      </c>
      <c r="F1217" s="170">
        <f>USD_CNY!B1003</f>
        <v>6.8767300000000002</v>
      </c>
      <c r="G1217" s="162">
        <f t="shared" ref="G1217" si="46">+C1217-C1216</f>
        <v>-75</v>
      </c>
    </row>
    <row r="1218" spans="1:7" x14ac:dyDescent="0.35">
      <c r="A1218" s="225">
        <v>43451</v>
      </c>
      <c r="B1218" s="47">
        <f t="shared" si="33"/>
        <v>7124.0247043493509</v>
      </c>
      <c r="C1218" s="267">
        <v>49150</v>
      </c>
      <c r="D1218" s="47">
        <f t="shared" si="34"/>
        <v>6088.9100037173939</v>
      </c>
      <c r="E1218" s="267">
        <v>6104</v>
      </c>
      <c r="F1218" s="170">
        <f>USD_CNY!B1004</f>
        <v>6.8991899999999999</v>
      </c>
      <c r="G1218" s="162">
        <f t="shared" ref="G1218:G1223" si="47">+C1218-C1217</f>
        <v>10</v>
      </c>
    </row>
    <row r="1219" spans="1:7" x14ac:dyDescent="0.35">
      <c r="A1219" s="225">
        <v>43452</v>
      </c>
      <c r="B1219" s="47">
        <f t="shared" si="33"/>
        <v>7105.9927737140588</v>
      </c>
      <c r="C1219" s="267">
        <f>C1220+750</f>
        <v>49030</v>
      </c>
      <c r="D1219" s="47">
        <f t="shared" si="34"/>
        <v>6073.4980971915038</v>
      </c>
      <c r="E1219" s="267"/>
      <c r="F1219" s="170">
        <f>USD_CNY!B1005</f>
        <v>6.8998100000000004</v>
      </c>
      <c r="G1219" s="162">
        <f t="shared" si="47"/>
        <v>-120</v>
      </c>
    </row>
    <row r="1220" spans="1:7" x14ac:dyDescent="0.35">
      <c r="A1220" s="225">
        <v>43453</v>
      </c>
      <c r="B1220" s="47">
        <f t="shared" si="33"/>
        <v>7013.1401959844397</v>
      </c>
      <c r="C1220" s="267">
        <v>48280</v>
      </c>
      <c r="D1220" s="47">
        <f t="shared" si="34"/>
        <v>5994.1369196448204</v>
      </c>
      <c r="E1220" s="267">
        <v>6043</v>
      </c>
      <c r="F1220" s="170">
        <f>USD_CNY!B1006</f>
        <v>6.88422</v>
      </c>
      <c r="G1220" s="162">
        <f t="shared" si="47"/>
        <v>-750</v>
      </c>
    </row>
    <row r="1221" spans="1:7" x14ac:dyDescent="0.35">
      <c r="A1221" s="225">
        <v>43454</v>
      </c>
      <c r="B1221" s="47">
        <f t="shared" si="33"/>
        <v>6995.8025184889066</v>
      </c>
      <c r="C1221" s="267">
        <v>48300</v>
      </c>
      <c r="D1221" s="47">
        <f t="shared" si="34"/>
        <v>5979.318391870861</v>
      </c>
      <c r="E1221" s="267">
        <v>5987</v>
      </c>
      <c r="F1221" s="170">
        <f>USD_CNY!B1007</f>
        <v>6.9041399999999999</v>
      </c>
      <c r="G1221" s="162">
        <f t="shared" si="47"/>
        <v>20</v>
      </c>
    </row>
    <row r="1222" spans="1:7" x14ac:dyDescent="0.35">
      <c r="A1222" s="225">
        <v>43459</v>
      </c>
      <c r="B1222" s="47">
        <f t="shared" si="33"/>
        <v>6945.7644185914914</v>
      </c>
      <c r="C1222" s="267">
        <f>C1223-155</f>
        <v>47870</v>
      </c>
      <c r="D1222" s="47">
        <f t="shared" si="34"/>
        <v>5936.5507851209331</v>
      </c>
      <c r="E1222" s="267"/>
      <c r="F1222" s="170">
        <f>USD_CNY!B1008</f>
        <v>6.8919699999999997</v>
      </c>
      <c r="G1222" s="162">
        <f t="shared" si="47"/>
        <v>-430</v>
      </c>
    </row>
    <row r="1223" spans="1:7" x14ac:dyDescent="0.35">
      <c r="A1223" s="225">
        <v>43460</v>
      </c>
      <c r="B1223" s="47">
        <f t="shared" si="33"/>
        <v>6941.0319410319416</v>
      </c>
      <c r="C1223" s="267">
        <v>48025</v>
      </c>
      <c r="D1223" s="47">
        <f t="shared" si="34"/>
        <v>5932.5059325059337</v>
      </c>
      <c r="E1223" s="267">
        <v>5931.5</v>
      </c>
      <c r="F1223" s="170">
        <f>USD_CNY!B1009</f>
        <v>6.9189999999999996</v>
      </c>
      <c r="G1223" s="162">
        <f t="shared" si="47"/>
        <v>155</v>
      </c>
    </row>
    <row r="1224" spans="1:7" x14ac:dyDescent="0.35">
      <c r="A1224" s="225">
        <v>43461</v>
      </c>
      <c r="B1224" s="47">
        <f t="shared" si="33"/>
        <v>7038.5947191673267</v>
      </c>
      <c r="C1224" s="267">
        <f>C1225+280</f>
        <v>48500</v>
      </c>
      <c r="D1224" s="47">
        <f t="shared" si="34"/>
        <v>6015.8929223652367</v>
      </c>
      <c r="E1224" s="267"/>
      <c r="F1224" s="170">
        <f>USD_CNY!B1010</f>
        <v>6.8905799999999999</v>
      </c>
      <c r="G1224" s="162">
        <f t="shared" ref="G1224:G1225" si="48">+C1224-C1223</f>
        <v>475</v>
      </c>
    </row>
    <row r="1225" spans="1:7" x14ac:dyDescent="0.35">
      <c r="A1225" s="225">
        <v>43462</v>
      </c>
      <c r="B1225" s="47">
        <f t="shared" si="33"/>
        <v>7017.4008839422022</v>
      </c>
      <c r="C1225" s="267">
        <v>48220</v>
      </c>
      <c r="D1225" s="47">
        <f t="shared" si="34"/>
        <v>5997.7785332839339</v>
      </c>
      <c r="E1225" s="267">
        <v>5990</v>
      </c>
      <c r="F1225" s="170">
        <f>USD_CNY!B1011</f>
        <v>6.8714899999999997</v>
      </c>
      <c r="G1225" s="162">
        <f t="shared" si="48"/>
        <v>-280</v>
      </c>
    </row>
    <row r="1226" spans="1:7" x14ac:dyDescent="0.35">
      <c r="A1226" s="225">
        <v>43467</v>
      </c>
      <c r="B1226" s="47">
        <f t="shared" si="33"/>
        <v>6988.0184600154316</v>
      </c>
      <c r="C1226" s="267">
        <v>48000</v>
      </c>
      <c r="D1226" s="47">
        <f t="shared" si="34"/>
        <v>5972.6653504405404</v>
      </c>
      <c r="E1226" s="267">
        <v>5965</v>
      </c>
      <c r="F1226" s="170">
        <f>USD_CNY!B1012</f>
        <v>6.8689</v>
      </c>
      <c r="G1226" s="162">
        <f t="shared" ref="G1226" si="49">+C1226-C1225</f>
        <v>-220</v>
      </c>
    </row>
    <row r="1227" spans="1:7" x14ac:dyDescent="0.35">
      <c r="A1227" s="225">
        <v>43468</v>
      </c>
      <c r="B1227" s="47">
        <f t="shared" si="33"/>
        <v>6893.7733519300382</v>
      </c>
      <c r="C1227" s="267">
        <v>47400</v>
      </c>
      <c r="D1227" s="47">
        <f t="shared" si="34"/>
        <v>5892.1139760085798</v>
      </c>
      <c r="E1227" s="267">
        <v>5839</v>
      </c>
      <c r="F1227" s="170">
        <f>USD_CNY!B1013</f>
        <v>6.8757700000000002</v>
      </c>
      <c r="G1227" s="162">
        <f t="shared" ref="G1227:G1230" si="50">+C1227-C1226</f>
        <v>-600</v>
      </c>
    </row>
    <row r="1228" spans="1:7" x14ac:dyDescent="0.35">
      <c r="A1228" s="225">
        <v>43469</v>
      </c>
      <c r="B1228" s="47">
        <f t="shared" si="33"/>
        <v>6808.6566790857023</v>
      </c>
      <c r="C1228" s="267">
        <v>46820</v>
      </c>
      <c r="D1228" s="47">
        <f t="shared" si="34"/>
        <v>5819.3646829792333</v>
      </c>
      <c r="E1228" s="267">
        <v>5811</v>
      </c>
      <c r="F1228" s="170">
        <f>USD_CNY!B1014</f>
        <v>6.8765400000000003</v>
      </c>
      <c r="G1228" s="162">
        <f t="shared" si="50"/>
        <v>-580</v>
      </c>
    </row>
    <row r="1229" spans="1:7" x14ac:dyDescent="0.35">
      <c r="A1229" s="225">
        <v>43472</v>
      </c>
      <c r="B1229" s="47">
        <f t="shared" si="33"/>
        <v>6920.042190404597</v>
      </c>
      <c r="C1229" s="267">
        <f>C1230+40</f>
        <v>47500</v>
      </c>
      <c r="D1229" s="47">
        <f t="shared" si="34"/>
        <v>5914.5659747047839</v>
      </c>
      <c r="E1229" s="267"/>
      <c r="F1229" s="170">
        <f>USD_CNY!B1015</f>
        <v>6.8641199999999998</v>
      </c>
      <c r="G1229" s="162">
        <f t="shared" si="50"/>
        <v>680</v>
      </c>
    </row>
    <row r="1230" spans="1:7" x14ac:dyDescent="0.35">
      <c r="A1230" s="225">
        <v>43473</v>
      </c>
      <c r="B1230" s="47">
        <f t="shared" si="33"/>
        <v>6933.6901958263452</v>
      </c>
      <c r="C1230" s="267">
        <v>47460</v>
      </c>
      <c r="D1230" s="47">
        <f t="shared" si="34"/>
        <v>5926.2309366037143</v>
      </c>
      <c r="E1230" s="267">
        <v>5889.5</v>
      </c>
      <c r="F1230" s="170">
        <f>USD_CNY!B1016</f>
        <v>6.8448399999999996</v>
      </c>
      <c r="G1230" s="162">
        <f t="shared" si="50"/>
        <v>-40</v>
      </c>
    </row>
    <row r="1231" spans="1:7" x14ac:dyDescent="0.35">
      <c r="A1231" s="225">
        <v>43474</v>
      </c>
      <c r="B1231" s="47">
        <f t="shared" si="33"/>
        <v>6948.9944971318255</v>
      </c>
      <c r="C1231" s="267">
        <v>47620</v>
      </c>
      <c r="D1231" s="47">
        <f t="shared" si="34"/>
        <v>5939.3115360101074</v>
      </c>
      <c r="E1231" s="267">
        <v>5904.5</v>
      </c>
      <c r="F1231" s="170">
        <f>USD_CNY!B1017</f>
        <v>6.8527899999999997</v>
      </c>
      <c r="G1231" s="162">
        <f t="shared" ref="G1231:G1238" si="51">+C1231-C1230</f>
        <v>160</v>
      </c>
    </row>
    <row r="1232" spans="1:7" x14ac:dyDescent="0.35">
      <c r="A1232" s="225">
        <v>43475</v>
      </c>
      <c r="B1232" s="47">
        <f t="shared" si="33"/>
        <v>6960.7884880509646</v>
      </c>
      <c r="C1232" s="267">
        <v>47410</v>
      </c>
      <c r="D1232" s="47">
        <f t="shared" si="34"/>
        <v>5949.3918701290295</v>
      </c>
      <c r="E1232" s="267">
        <v>5964</v>
      </c>
      <c r="F1232" s="170">
        <f>USD_CNY!B1018</f>
        <v>6.8110099999999996</v>
      </c>
      <c r="G1232" s="162">
        <f t="shared" si="51"/>
        <v>-210</v>
      </c>
    </row>
    <row r="1233" spans="1:7" x14ac:dyDescent="0.35">
      <c r="A1233" s="225">
        <v>43480</v>
      </c>
      <c r="B1233" s="47">
        <f t="shared" si="33"/>
        <v>6957.3537654301817</v>
      </c>
      <c r="C1233" s="267">
        <f>C1234-185</f>
        <v>47045</v>
      </c>
      <c r="D1233" s="47">
        <f t="shared" si="34"/>
        <v>5946.4562097693861</v>
      </c>
      <c r="E1233" s="267"/>
      <c r="F1233" s="170">
        <f>USD_CNY!B1019</f>
        <v>6.7619100000000003</v>
      </c>
      <c r="G1233" s="162">
        <f t="shared" si="51"/>
        <v>-365</v>
      </c>
    </row>
    <row r="1234" spans="1:7" x14ac:dyDescent="0.35">
      <c r="A1234" s="225">
        <v>43481</v>
      </c>
      <c r="B1234" s="47">
        <f t="shared" si="33"/>
        <v>6973.4306827997079</v>
      </c>
      <c r="C1234" s="267">
        <v>47230</v>
      </c>
      <c r="D1234" s="47">
        <f t="shared" si="34"/>
        <v>5960.1971647860755</v>
      </c>
      <c r="E1234" s="267">
        <v>5882</v>
      </c>
      <c r="F1234" s="170">
        <f>USD_CNY!B1020</f>
        <v>6.77285</v>
      </c>
      <c r="G1234" s="162">
        <f t="shared" si="51"/>
        <v>185</v>
      </c>
    </row>
    <row r="1235" spans="1:7" x14ac:dyDescent="0.35">
      <c r="A1235" s="225">
        <v>43482</v>
      </c>
      <c r="B1235" s="47">
        <f t="shared" si="33"/>
        <v>7018.2705821436493</v>
      </c>
      <c r="C1235" s="267">
        <v>47440</v>
      </c>
      <c r="D1235" s="47">
        <f t="shared" si="34"/>
        <v>5998.5218650800425</v>
      </c>
      <c r="E1235" s="267">
        <v>5911</v>
      </c>
      <c r="F1235" s="170">
        <f>USD_CNY!B1021</f>
        <v>6.7595000000000001</v>
      </c>
      <c r="G1235" s="162">
        <f t="shared" si="51"/>
        <v>210</v>
      </c>
    </row>
    <row r="1236" spans="1:7" x14ac:dyDescent="0.35">
      <c r="A1236" s="225">
        <v>43483</v>
      </c>
      <c r="B1236" s="47">
        <f t="shared" si="33"/>
        <v>7051.2451492245409</v>
      </c>
      <c r="C1236" s="267">
        <v>47770</v>
      </c>
      <c r="D1236" s="47">
        <f t="shared" si="34"/>
        <v>6026.7052557474708</v>
      </c>
      <c r="E1236" s="267">
        <v>5933</v>
      </c>
      <c r="F1236" s="170">
        <f>USD_CNY!B1022</f>
        <v>6.7746899999999997</v>
      </c>
      <c r="G1236" s="162">
        <f t="shared" si="51"/>
        <v>330</v>
      </c>
    </row>
    <row r="1237" spans="1:7" x14ac:dyDescent="0.35">
      <c r="A1237" s="225">
        <v>43486</v>
      </c>
      <c r="B1237" s="47">
        <f t="shared" si="33"/>
        <v>7045.8050846834603</v>
      </c>
      <c r="C1237" s="267">
        <f>C1238+405</f>
        <v>47920</v>
      </c>
      <c r="D1237" s="47">
        <f t="shared" si="34"/>
        <v>6022.0556279345819</v>
      </c>
      <c r="E1237" s="267"/>
      <c r="F1237" s="170">
        <f>USD_CNY!B1023</f>
        <v>6.8012100000000002</v>
      </c>
      <c r="G1237" s="162">
        <f t="shared" si="51"/>
        <v>150</v>
      </c>
    </row>
    <row r="1238" spans="1:7" x14ac:dyDescent="0.35">
      <c r="A1238" s="225">
        <v>43487</v>
      </c>
      <c r="B1238" s="47">
        <f t="shared" si="33"/>
        <v>6987.70552075061</v>
      </c>
      <c r="C1238" s="267">
        <v>47515</v>
      </c>
      <c r="D1238" s="47">
        <f t="shared" si="34"/>
        <v>5972.397880983428</v>
      </c>
      <c r="E1238" s="267">
        <v>5951</v>
      </c>
      <c r="F1238" s="170">
        <f>USD_CNY!B1024</f>
        <v>6.7998000000000003</v>
      </c>
      <c r="G1238" s="162">
        <f t="shared" si="51"/>
        <v>-405</v>
      </c>
    </row>
    <row r="1239" spans="1:7" x14ac:dyDescent="0.35">
      <c r="A1239" s="225">
        <v>43488</v>
      </c>
      <c r="B1239" s="47"/>
      <c r="C1239" s="267"/>
      <c r="D1239" s="47"/>
      <c r="E1239" s="267"/>
      <c r="F1239" s="47"/>
    </row>
    <row r="1240" spans="1:7" x14ac:dyDescent="0.35">
      <c r="A1240" s="225">
        <v>43489</v>
      </c>
      <c r="B1240" s="47"/>
      <c r="C1240" s="267"/>
      <c r="D1240" s="47"/>
      <c r="E1240" s="267"/>
      <c r="F1240" s="47"/>
    </row>
    <row r="1241" spans="1:7" x14ac:dyDescent="0.35">
      <c r="A1241" s="225">
        <v>43490</v>
      </c>
      <c r="B1241" s="47"/>
      <c r="C1241" s="267"/>
      <c r="D1241" s="47"/>
      <c r="E1241" s="267"/>
      <c r="F1241" s="47"/>
    </row>
    <row r="1242" spans="1:7" x14ac:dyDescent="0.35">
      <c r="A1242" s="46"/>
      <c r="B1242" s="47"/>
      <c r="C1242" s="267"/>
      <c r="D1242" s="47"/>
      <c r="E1242" s="267"/>
      <c r="F1242" s="47"/>
    </row>
    <row r="1243" spans="1:7" x14ac:dyDescent="0.35">
      <c r="A1243" s="46"/>
      <c r="B1243" s="47"/>
      <c r="C1243" s="267"/>
      <c r="D1243" s="47"/>
      <c r="E1243" s="267"/>
      <c r="F1243" s="47"/>
    </row>
    <row r="1244" spans="1:7" x14ac:dyDescent="0.35">
      <c r="A1244" s="46"/>
      <c r="B1244" s="47"/>
      <c r="C1244" s="267"/>
      <c r="D1244" s="47"/>
      <c r="E1244" s="267"/>
      <c r="F1244" s="47"/>
    </row>
    <row r="1245" spans="1:7" x14ac:dyDescent="0.35">
      <c r="A1245" s="46"/>
      <c r="B1245" s="47"/>
      <c r="C1245" s="267"/>
      <c r="D1245" s="47"/>
      <c r="E1245" s="267"/>
      <c r="F1245" s="47"/>
    </row>
    <row r="1246" spans="1:7" x14ac:dyDescent="0.35">
      <c r="A1246" s="46"/>
      <c r="B1246" s="47"/>
      <c r="C1246" s="267"/>
      <c r="D1246" s="47"/>
      <c r="E1246" s="267"/>
      <c r="F1246" s="47"/>
    </row>
    <row r="1247" spans="1:7" x14ac:dyDescent="0.35">
      <c r="A1247" s="46"/>
      <c r="B1247" s="47"/>
      <c r="C1247" s="267"/>
      <c r="D1247" s="47"/>
      <c r="E1247" s="267"/>
      <c r="F1247" s="47"/>
    </row>
    <row r="1248" spans="1:7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230" activePane="bottomLeft" state="frozen"/>
      <selection pane="bottomLeft" activeCell="E1237" sqref="E1237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4" t="s">
        <v>749</v>
      </c>
      <c r="B1" s="394"/>
      <c r="C1" s="394"/>
      <c r="D1" s="394"/>
      <c r="E1" s="394"/>
      <c r="F1" s="394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92" t="s">
        <v>659</v>
      </c>
      <c r="C3" s="393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9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9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9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9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9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9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9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9" x14ac:dyDescent="0.35">
      <c r="A1112" s="201">
        <v>43297</v>
      </c>
      <c r="B1112" s="47">
        <f t="shared" si="12"/>
        <v>2855.1370755290509</v>
      </c>
      <c r="C1112" s="379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  <c r="I1112" s="64">
        <f>C1112*'CNY-VND'!B237</f>
        <v>68544375</v>
      </c>
    </row>
    <row r="1113" spans="1:9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9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9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9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9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9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9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9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201" si="25">+IF(F1186=0,"",C1186/F1186)</f>
        <v>2650.8738198410192</v>
      </c>
      <c r="C1186" s="47">
        <v>18475</v>
      </c>
      <c r="D1186" s="47">
        <f t="shared" ref="D1186:D1201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2" si="30">+C1189-C1188</f>
        <v>50</v>
      </c>
    </row>
    <row r="1190" spans="1:7" x14ac:dyDescent="0.35">
      <c r="A1190" s="344">
        <v>43410</v>
      </c>
      <c r="B1190" s="47">
        <f t="shared" si="25"/>
        <v>2709.8800272073399</v>
      </c>
      <c r="C1190" s="47">
        <v>18725</v>
      </c>
      <c r="D1190" s="47">
        <f t="shared" si="26"/>
        <v>2316.1367753908889</v>
      </c>
      <c r="E1190" s="47">
        <v>1948.5</v>
      </c>
      <c r="F1190" s="170">
        <f>USD_CNY!B977</f>
        <v>6.9099000000000004</v>
      </c>
      <c r="G1190" s="162">
        <f t="shared" si="30"/>
        <v>-150</v>
      </c>
    </row>
    <row r="1191" spans="1:7" x14ac:dyDescent="0.35">
      <c r="A1191" s="344">
        <v>43411</v>
      </c>
      <c r="B1191" s="47">
        <f t="shared" si="25"/>
        <v>2683.9266388569004</v>
      </c>
      <c r="C1191" s="47">
        <v>18575</v>
      </c>
      <c r="D1191" s="47">
        <f t="shared" si="26"/>
        <v>2293.9543921853851</v>
      </c>
      <c r="E1191" s="47">
        <v>1899</v>
      </c>
      <c r="F1191" s="170">
        <f>USD_CNY!B978</f>
        <v>6.9208299999999996</v>
      </c>
      <c r="G1191" s="162">
        <f t="shared" si="30"/>
        <v>-150</v>
      </c>
    </row>
    <row r="1192" spans="1:7" x14ac:dyDescent="0.35">
      <c r="A1192" s="344">
        <v>43412</v>
      </c>
      <c r="B1192" s="47">
        <f t="shared" si="25"/>
        <v>2685.3079321755549</v>
      </c>
      <c r="C1192" s="47">
        <v>18575</v>
      </c>
      <c r="D1192" s="47">
        <f t="shared" si="26"/>
        <v>2295.1349847654319</v>
      </c>
      <c r="E1192" s="47">
        <v>1899</v>
      </c>
      <c r="F1192" s="170">
        <f>USD_CNY!B979</f>
        <v>6.9172700000000003</v>
      </c>
      <c r="G1192" s="162">
        <f t="shared" si="30"/>
        <v>0</v>
      </c>
    </row>
    <row r="1193" spans="1:7" x14ac:dyDescent="0.35">
      <c r="A1193" s="344">
        <v>43413</v>
      </c>
      <c r="B1193" s="47">
        <f t="shared" si="25"/>
        <v>2673.7890938194087</v>
      </c>
      <c r="C1193" s="47">
        <v>18575</v>
      </c>
      <c r="D1193" s="47">
        <f t="shared" si="26"/>
        <v>2285.2898237772724</v>
      </c>
      <c r="E1193" s="47">
        <v>1899</v>
      </c>
      <c r="F1193" s="170">
        <f>USD_CNY!B980</f>
        <v>6.9470700000000001</v>
      </c>
      <c r="G1193" s="162">
        <f t="shared" ref="G1193:G1195" si="31">+C1193-C1192</f>
        <v>0</v>
      </c>
    </row>
    <row r="1194" spans="1:7" x14ac:dyDescent="0.35">
      <c r="A1194" s="225">
        <v>43416</v>
      </c>
      <c r="B1194" s="47">
        <f t="shared" si="25"/>
        <v>2688.1836515250316</v>
      </c>
      <c r="C1194" s="47">
        <f>C1195+50</f>
        <v>18675</v>
      </c>
      <c r="D1194" s="47">
        <f t="shared" si="26"/>
        <v>2297.592864551309</v>
      </c>
      <c r="E1194" s="47">
        <v>1899</v>
      </c>
      <c r="F1194" s="170">
        <f>USD_CNY!B981</f>
        <v>6.9470700000000001</v>
      </c>
      <c r="G1194" s="162">
        <f t="shared" si="31"/>
        <v>100</v>
      </c>
    </row>
    <row r="1195" spans="1:7" x14ac:dyDescent="0.35">
      <c r="A1195" s="225">
        <v>43417</v>
      </c>
      <c r="B1195" s="47">
        <f t="shared" si="25"/>
        <v>2675.7097275157776</v>
      </c>
      <c r="C1195" s="47">
        <v>18625</v>
      </c>
      <c r="D1195" s="47">
        <f t="shared" si="26"/>
        <v>2286.9313910391261</v>
      </c>
      <c r="E1195" s="47">
        <v>1910</v>
      </c>
      <c r="F1195" s="170">
        <f>USD_CNY!B982</f>
        <v>6.9607700000000001</v>
      </c>
      <c r="G1195" s="162">
        <f t="shared" si="31"/>
        <v>-50</v>
      </c>
    </row>
    <row r="1196" spans="1:7" x14ac:dyDescent="0.35">
      <c r="A1196" s="225">
        <v>43418</v>
      </c>
      <c r="B1196" s="47">
        <f t="shared" si="25"/>
        <v>2681.5615110617114</v>
      </c>
      <c r="C1196" s="47">
        <v>18625</v>
      </c>
      <c r="D1196" s="47">
        <f t="shared" si="26"/>
        <v>2291.9329154373604</v>
      </c>
      <c r="E1196" s="47">
        <v>1908</v>
      </c>
      <c r="F1196" s="170">
        <f>USD_CNY!B983</f>
        <v>6.9455799999999996</v>
      </c>
      <c r="G1196" s="162">
        <f t="shared" ref="G1196:G1198" si="32">+C1196-C1195</f>
        <v>0</v>
      </c>
    </row>
    <row r="1197" spans="1:7" x14ac:dyDescent="0.35">
      <c r="A1197" s="225">
        <v>43419</v>
      </c>
      <c r="B1197" s="47">
        <f t="shared" si="25"/>
        <v>2693.5580749846235</v>
      </c>
      <c r="C1197" s="47">
        <v>18700</v>
      </c>
      <c r="D1197" s="47">
        <f t="shared" si="26"/>
        <v>2302.1863888757466</v>
      </c>
      <c r="E1197" s="47">
        <v>1918.5</v>
      </c>
      <c r="F1197" s="170">
        <f>USD_CNY!B984</f>
        <v>6.9424900000000003</v>
      </c>
      <c r="G1197" s="162">
        <f t="shared" si="32"/>
        <v>75</v>
      </c>
    </row>
    <row r="1198" spans="1:7" x14ac:dyDescent="0.35">
      <c r="A1198" s="225">
        <v>43423</v>
      </c>
      <c r="B1198" s="47">
        <f t="shared" si="25"/>
        <v>2688.4090544460651</v>
      </c>
      <c r="C1198" s="47">
        <f>C1199+25</f>
        <v>18600</v>
      </c>
      <c r="D1198" s="47">
        <f t="shared" si="26"/>
        <v>2297.7855166205686</v>
      </c>
      <c r="E1198" s="47"/>
      <c r="F1198" s="170">
        <f>USD_CNY!B986</f>
        <v>6.91859</v>
      </c>
      <c r="G1198" s="162">
        <f t="shared" si="32"/>
        <v>-100</v>
      </c>
    </row>
    <row r="1199" spans="1:7" x14ac:dyDescent="0.35">
      <c r="A1199" s="225">
        <v>43424</v>
      </c>
      <c r="B1199" s="47">
        <f t="shared" si="25"/>
        <v>2679.4974806232303</v>
      </c>
      <c r="C1199" s="47">
        <v>18575</v>
      </c>
      <c r="D1199" s="47">
        <f t="shared" si="26"/>
        <v>2290.1687868574618</v>
      </c>
      <c r="E1199" s="47">
        <v>2005</v>
      </c>
      <c r="F1199" s="170">
        <f>USD_CNY!B987</f>
        <v>6.9322699999999999</v>
      </c>
      <c r="G1199" s="162">
        <f t="shared" ref="G1199" si="33">+C1199-C1198</f>
        <v>-25</v>
      </c>
    </row>
    <row r="1200" spans="1:7" x14ac:dyDescent="0.35">
      <c r="A1200" s="225">
        <v>43425</v>
      </c>
      <c r="B1200" s="47">
        <f t="shared" si="25"/>
        <v>2664.1705069124423</v>
      </c>
      <c r="C1200" s="47">
        <v>18500</v>
      </c>
      <c r="D1200" s="47">
        <f t="shared" si="26"/>
        <v>2277.0688093268741</v>
      </c>
      <c r="E1200" s="47">
        <v>1970</v>
      </c>
      <c r="F1200" s="170">
        <f>USD_CNY!B988</f>
        <v>6.944</v>
      </c>
      <c r="G1200" s="162">
        <f t="shared" ref="G1200:G1203" si="34">+C1200-C1199</f>
        <v>-75</v>
      </c>
    </row>
    <row r="1201" spans="1:7" x14ac:dyDescent="0.35">
      <c r="A1201" s="225">
        <v>43426</v>
      </c>
      <c r="B1201" s="47">
        <f t="shared" si="25"/>
        <v>2676.3192339586985</v>
      </c>
      <c r="C1201" s="47">
        <v>18525</v>
      </c>
      <c r="D1201" s="47">
        <f t="shared" si="26"/>
        <v>2287.4523367168363</v>
      </c>
      <c r="E1201" s="47">
        <v>1949</v>
      </c>
      <c r="F1201" s="170">
        <f>USD_CNY!B989</f>
        <v>6.9218200000000003</v>
      </c>
      <c r="G1201" s="162">
        <f t="shared" si="34"/>
        <v>25</v>
      </c>
    </row>
    <row r="1202" spans="1:7" x14ac:dyDescent="0.35">
      <c r="A1202" s="225">
        <v>43427</v>
      </c>
      <c r="B1202" s="47">
        <f t="shared" ref="B1202" si="35">+IF(F1202=0,"",C1202/F1202)</f>
        <v>2676.3192339586985</v>
      </c>
      <c r="C1202" s="47">
        <v>18525</v>
      </c>
      <c r="D1202" s="47">
        <f t="shared" ref="D1202" si="36">+B1202/1.17</f>
        <v>2287.4523367168363</v>
      </c>
      <c r="E1202" s="47">
        <v>1949</v>
      </c>
      <c r="F1202" s="170">
        <f>USD_CNY!B990</f>
        <v>6.9218200000000003</v>
      </c>
      <c r="G1202" s="162">
        <f t="shared" si="34"/>
        <v>0</v>
      </c>
    </row>
    <row r="1203" spans="1:7" x14ac:dyDescent="0.35">
      <c r="A1203" s="225">
        <v>43430</v>
      </c>
      <c r="B1203" s="47">
        <f t="shared" ref="B1203:B1236" si="37">+IF(F1203=0,"",C1203/F1203)</f>
        <v>2683.427583474408</v>
      </c>
      <c r="C1203" s="47">
        <v>18625</v>
      </c>
      <c r="D1203" s="47">
        <f t="shared" ref="D1203:D1236" si="38">+B1203/1.17</f>
        <v>2293.5278491234258</v>
      </c>
      <c r="E1203" s="47">
        <v>1936</v>
      </c>
      <c r="F1203" s="170">
        <f>USD_CNY!B991</f>
        <v>6.9407500000000004</v>
      </c>
      <c r="G1203" s="162">
        <f t="shared" si="34"/>
        <v>100</v>
      </c>
    </row>
    <row r="1204" spans="1:7" x14ac:dyDescent="0.35">
      <c r="A1204" s="225">
        <v>43431</v>
      </c>
      <c r="B1204" s="47">
        <f t="shared" si="37"/>
        <v>2679.8715388290007</v>
      </c>
      <c r="C1204" s="47">
        <v>18625</v>
      </c>
      <c r="D1204" s="47">
        <f t="shared" si="38"/>
        <v>2290.4884947256419</v>
      </c>
      <c r="E1204" s="47">
        <v>1918.5</v>
      </c>
      <c r="F1204" s="170">
        <f>USD_CNY!B992</f>
        <v>6.9499599999999999</v>
      </c>
      <c r="G1204" s="162">
        <f t="shared" ref="G1204" si="39">+C1204-C1203</f>
        <v>0</v>
      </c>
    </row>
    <row r="1205" spans="1:7" x14ac:dyDescent="0.35">
      <c r="A1205" s="225">
        <v>43432</v>
      </c>
      <c r="B1205" s="47">
        <f t="shared" si="37"/>
        <v>2672.4696065031294</v>
      </c>
      <c r="C1205" s="47">
        <v>18575</v>
      </c>
      <c r="D1205" s="47">
        <f t="shared" si="38"/>
        <v>2284.1620568402818</v>
      </c>
      <c r="E1205" s="47">
        <v>1906</v>
      </c>
      <c r="F1205" s="170">
        <f>USD_CNY!B993</f>
        <v>6.9504999999999999</v>
      </c>
      <c r="G1205" s="162">
        <f t="shared" ref="G1205:G1207" si="40">+C1205-C1204</f>
        <v>-50</v>
      </c>
    </row>
    <row r="1206" spans="1:7" x14ac:dyDescent="0.35">
      <c r="A1206" s="225">
        <v>43433</v>
      </c>
      <c r="B1206" s="47">
        <f t="shared" si="37"/>
        <v>2691.6629792925719</v>
      </c>
      <c r="C1206" s="47">
        <v>18675</v>
      </c>
      <c r="D1206" s="47">
        <f t="shared" si="38"/>
        <v>2300.5666489680102</v>
      </c>
      <c r="E1206" s="47">
        <v>1907</v>
      </c>
      <c r="F1206" s="170">
        <f>USD_CNY!B994</f>
        <v>6.9380899999999999</v>
      </c>
      <c r="G1206" s="162">
        <f t="shared" si="40"/>
        <v>100</v>
      </c>
    </row>
    <row r="1207" spans="1:7" x14ac:dyDescent="0.35">
      <c r="A1207" s="225">
        <v>43434</v>
      </c>
      <c r="B1207" s="47">
        <f t="shared" si="37"/>
        <v>2685.7493060312195</v>
      </c>
      <c r="C1207" s="47">
        <v>18625</v>
      </c>
      <c r="D1207" s="47">
        <f t="shared" si="38"/>
        <v>2295.5122273771108</v>
      </c>
      <c r="E1207" s="47">
        <v>1932.5</v>
      </c>
      <c r="F1207" s="170">
        <f>USD_CNY!B995</f>
        <v>6.9347500000000002</v>
      </c>
      <c r="G1207" s="162">
        <f t="shared" si="40"/>
        <v>-50</v>
      </c>
    </row>
    <row r="1208" spans="1:7" x14ac:dyDescent="0.35">
      <c r="A1208" s="225">
        <v>43437</v>
      </c>
      <c r="B1208" s="47">
        <f t="shared" si="37"/>
        <v>2732.1653928608084</v>
      </c>
      <c r="C1208" s="47">
        <v>18900</v>
      </c>
      <c r="D1208" s="47">
        <f t="shared" si="38"/>
        <v>2335.1840964622297</v>
      </c>
      <c r="E1208" s="47">
        <v>1956.5</v>
      </c>
      <c r="F1208" s="170">
        <f>USD_CNY!B996</f>
        <v>6.9175899999999997</v>
      </c>
      <c r="G1208" s="162">
        <f t="shared" ref="G1208:G1215" si="41">+C1208-C1207</f>
        <v>275</v>
      </c>
    </row>
    <row r="1209" spans="1:7" x14ac:dyDescent="0.35">
      <c r="A1209" s="225">
        <v>43438</v>
      </c>
      <c r="B1209" s="47">
        <f t="shared" si="37"/>
        <v>2739.229698051764</v>
      </c>
      <c r="C1209" s="47">
        <v>18825</v>
      </c>
      <c r="D1209" s="47">
        <f t="shared" si="38"/>
        <v>2341.2219641468068</v>
      </c>
      <c r="E1209" s="47">
        <v>1964.5</v>
      </c>
      <c r="F1209" s="170">
        <f>USD_CNY!B997</f>
        <v>6.8723700000000001</v>
      </c>
      <c r="G1209" s="162">
        <f t="shared" si="41"/>
        <v>-75</v>
      </c>
    </row>
    <row r="1210" spans="1:7" x14ac:dyDescent="0.35">
      <c r="A1210" s="225">
        <v>43439</v>
      </c>
      <c r="B1210" s="47">
        <f t="shared" si="37"/>
        <v>2759.8855742679366</v>
      </c>
      <c r="C1210" s="47">
        <v>18900</v>
      </c>
      <c r="D1210" s="47">
        <f t="shared" si="38"/>
        <v>2358.8765592033646</v>
      </c>
      <c r="E1210" s="47">
        <v>1974</v>
      </c>
      <c r="F1210" s="170">
        <f>USD_CNY!B998</f>
        <v>6.8481100000000001</v>
      </c>
      <c r="G1210" s="162">
        <f t="shared" si="41"/>
        <v>75</v>
      </c>
    </row>
    <row r="1211" spans="1:7" x14ac:dyDescent="0.35">
      <c r="A1211" s="225">
        <v>43440</v>
      </c>
      <c r="B1211" s="47">
        <f t="shared" si="37"/>
        <v>2752.7819505009697</v>
      </c>
      <c r="C1211" s="47">
        <v>18875</v>
      </c>
      <c r="D1211" s="47">
        <f t="shared" si="38"/>
        <v>2352.8050858982647</v>
      </c>
      <c r="E1211" s="47">
        <v>1976</v>
      </c>
      <c r="F1211" s="170">
        <f>USD_CNY!B999</f>
        <v>6.8567</v>
      </c>
      <c r="G1211" s="162">
        <f t="shared" si="41"/>
        <v>-25</v>
      </c>
    </row>
    <row r="1212" spans="1:7" x14ac:dyDescent="0.35">
      <c r="A1212" s="225">
        <v>43445</v>
      </c>
      <c r="B1212" s="47">
        <f t="shared" si="37"/>
        <v>2720.4308699445933</v>
      </c>
      <c r="C1212" s="47">
        <v>18800</v>
      </c>
      <c r="D1212" s="47">
        <f t="shared" si="38"/>
        <v>2325.1545896962339</v>
      </c>
      <c r="E1212" s="47">
        <v>1975.5</v>
      </c>
      <c r="F1212" s="170">
        <f>USD_CNY!B1000</f>
        <v>6.9106699999999996</v>
      </c>
      <c r="G1212" s="162">
        <v>-25</v>
      </c>
    </row>
    <row r="1213" spans="1:7" x14ac:dyDescent="0.35">
      <c r="A1213" s="225">
        <v>43446</v>
      </c>
      <c r="B1213" s="47">
        <f t="shared" si="37"/>
        <v>2727.1107402530238</v>
      </c>
      <c r="C1213" s="47">
        <v>18825</v>
      </c>
      <c r="D1213" s="47">
        <f t="shared" si="38"/>
        <v>2330.86388055814</v>
      </c>
      <c r="E1213" s="47">
        <v>1975.5</v>
      </c>
      <c r="F1213" s="170">
        <f>USD_CNY!B1001</f>
        <v>6.9029100000000003</v>
      </c>
      <c r="G1213" s="162">
        <f t="shared" si="41"/>
        <v>25</v>
      </c>
    </row>
    <row r="1214" spans="1:7" x14ac:dyDescent="0.35">
      <c r="A1214" s="225">
        <v>43447</v>
      </c>
      <c r="B1214" s="47">
        <f t="shared" si="37"/>
        <v>2741.1761793610185</v>
      </c>
      <c r="C1214" s="47">
        <v>18825</v>
      </c>
      <c r="D1214" s="47">
        <f t="shared" si="38"/>
        <v>2342.8856233854863</v>
      </c>
      <c r="E1214" s="47">
        <v>1965</v>
      </c>
      <c r="F1214" s="170">
        <f>USD_CNY!B1002</f>
        <v>6.8674900000000001</v>
      </c>
      <c r="G1214" s="162">
        <f t="shared" si="41"/>
        <v>0</v>
      </c>
    </row>
    <row r="1215" spans="1:7" x14ac:dyDescent="0.35">
      <c r="A1215" s="225">
        <v>43448</v>
      </c>
      <c r="B1215" s="47">
        <f t="shared" si="37"/>
        <v>2715.6802724550766</v>
      </c>
      <c r="C1215" s="47">
        <v>18675</v>
      </c>
      <c r="D1215" s="47">
        <f t="shared" si="38"/>
        <v>2321.094249961604</v>
      </c>
      <c r="E1215" s="47">
        <v>1953</v>
      </c>
      <c r="F1215" s="170">
        <f>USD_CNY!B1003</f>
        <v>6.8767300000000002</v>
      </c>
      <c r="G1215" s="162">
        <f t="shared" si="41"/>
        <v>-150</v>
      </c>
    </row>
    <row r="1216" spans="1:7" x14ac:dyDescent="0.35">
      <c r="A1216" s="225">
        <v>43451</v>
      </c>
      <c r="B1216" s="47">
        <f t="shared" si="37"/>
        <v>2688.7214296171001</v>
      </c>
      <c r="C1216" s="47">
        <v>18550</v>
      </c>
      <c r="D1216" s="47">
        <f t="shared" si="38"/>
        <v>2298.0525039462395</v>
      </c>
      <c r="E1216" s="47">
        <v>1927</v>
      </c>
      <c r="F1216" s="170">
        <f>USD_CNY!B1004</f>
        <v>6.8991899999999999</v>
      </c>
      <c r="G1216" s="162">
        <f t="shared" ref="G1216:G1221" si="42">+C1216-C1215</f>
        <v>-125</v>
      </c>
    </row>
    <row r="1217" spans="1:10" x14ac:dyDescent="0.35">
      <c r="A1217" s="225">
        <v>43452</v>
      </c>
      <c r="B1217" s="47">
        <f t="shared" si="37"/>
        <v>2670.3633868178977</v>
      </c>
      <c r="C1217" s="47">
        <f>C1218-75</f>
        <v>18425</v>
      </c>
      <c r="D1217" s="47">
        <f t="shared" si="38"/>
        <v>2282.3618690751264</v>
      </c>
      <c r="E1217" s="47"/>
      <c r="F1217" s="170">
        <f>USD_CNY!B1005</f>
        <v>6.8998100000000004</v>
      </c>
      <c r="G1217" s="162">
        <f t="shared" si="42"/>
        <v>-125</v>
      </c>
    </row>
    <row r="1218" spans="1:10" x14ac:dyDescent="0.35">
      <c r="A1218" s="225">
        <v>43453</v>
      </c>
      <c r="B1218" s="47">
        <f t="shared" si="37"/>
        <v>2687.305170375148</v>
      </c>
      <c r="C1218" s="47">
        <v>18500</v>
      </c>
      <c r="D1218" s="47">
        <f t="shared" si="38"/>
        <v>2296.8420259616651</v>
      </c>
      <c r="E1218" s="47">
        <v>1939</v>
      </c>
      <c r="F1218" s="170">
        <f>USD_CNY!B1006</f>
        <v>6.88422</v>
      </c>
      <c r="G1218" s="162">
        <f t="shared" si="42"/>
        <v>75</v>
      </c>
    </row>
    <row r="1219" spans="1:10" x14ac:dyDescent="0.35">
      <c r="A1219" s="225">
        <v>43454</v>
      </c>
      <c r="B1219" s="47">
        <f t="shared" si="37"/>
        <v>2686.7937208689277</v>
      </c>
      <c r="C1219" s="47">
        <v>18550</v>
      </c>
      <c r="D1219" s="47">
        <f t="shared" si="38"/>
        <v>2296.4048896315621</v>
      </c>
      <c r="E1219" s="47">
        <v>1942</v>
      </c>
      <c r="F1219" s="170">
        <f>USD_CNY!B1007</f>
        <v>6.9041399999999999</v>
      </c>
      <c r="G1219" s="162">
        <f t="shared" si="42"/>
        <v>50</v>
      </c>
    </row>
    <row r="1220" spans="1:10" x14ac:dyDescent="0.35">
      <c r="A1220" s="225">
        <v>43459</v>
      </c>
      <c r="B1220" s="47">
        <f t="shared" si="37"/>
        <v>2677.0284838732614</v>
      </c>
      <c r="C1220" s="47">
        <f>C1221+175</f>
        <v>18450</v>
      </c>
      <c r="D1220" s="47">
        <f t="shared" si="38"/>
        <v>2288.0585332250098</v>
      </c>
      <c r="E1220" s="47"/>
      <c r="F1220" s="170">
        <f>USD_CNY!B1008</f>
        <v>6.8919699999999997</v>
      </c>
      <c r="G1220" s="162">
        <f t="shared" si="42"/>
        <v>-100</v>
      </c>
    </row>
    <row r="1221" spans="1:10" x14ac:dyDescent="0.35">
      <c r="A1221" s="225">
        <v>43460</v>
      </c>
      <c r="B1221" s="47">
        <f t="shared" si="37"/>
        <v>2641.2776412776416</v>
      </c>
      <c r="C1221" s="47">
        <v>18275</v>
      </c>
      <c r="D1221" s="47">
        <f>+B1221/1.17</f>
        <v>2257.5022575022581</v>
      </c>
      <c r="E1221" s="47">
        <v>1976.5</v>
      </c>
      <c r="F1221" s="170">
        <f>USD_CNY!B1009</f>
        <v>6.9189999999999996</v>
      </c>
      <c r="G1221" s="162">
        <f t="shared" si="42"/>
        <v>-175</v>
      </c>
      <c r="I1221" s="64">
        <f>C1221*'CNY-VND'!B346</f>
        <v>62299475</v>
      </c>
    </row>
    <row r="1222" spans="1:10" x14ac:dyDescent="0.35">
      <c r="A1222" s="225">
        <v>43461</v>
      </c>
      <c r="B1222" s="47">
        <f t="shared" si="37"/>
        <v>2673.9403649620208</v>
      </c>
      <c r="C1222" s="47">
        <f>C1223-75</f>
        <v>18425</v>
      </c>
      <c r="D1222" s="47">
        <f t="shared" si="38"/>
        <v>2285.4191153521547</v>
      </c>
      <c r="E1222" s="47"/>
      <c r="F1222" s="170">
        <f>USD_CNY!B1010</f>
        <v>6.8905799999999999</v>
      </c>
      <c r="G1222" s="162">
        <f t="shared" ref="G1222:G1223" si="43">+C1222-C1221</f>
        <v>150</v>
      </c>
      <c r="I1222" s="380">
        <f>-I1221+I1112</f>
        <v>6244900</v>
      </c>
    </row>
    <row r="1223" spans="1:10" x14ac:dyDescent="0.35">
      <c r="A1223" s="225">
        <v>43462</v>
      </c>
      <c r="B1223" s="47">
        <f t="shared" si="37"/>
        <v>2692.2836240757101</v>
      </c>
      <c r="C1223" s="47">
        <v>18500</v>
      </c>
      <c r="D1223" s="47">
        <f t="shared" si="38"/>
        <v>2301.0971145946241</v>
      </c>
      <c r="E1223" s="47">
        <v>1996.5</v>
      </c>
      <c r="F1223" s="170">
        <f>USD_CNY!B1011</f>
        <v>6.8714899999999997</v>
      </c>
      <c r="G1223" s="162">
        <f t="shared" si="43"/>
        <v>75</v>
      </c>
    </row>
    <row r="1224" spans="1:10" x14ac:dyDescent="0.35">
      <c r="A1224" s="225">
        <v>43467</v>
      </c>
      <c r="B1224" s="47">
        <f t="shared" si="37"/>
        <v>2693.2987814642811</v>
      </c>
      <c r="C1224" s="47">
        <v>18500</v>
      </c>
      <c r="D1224" s="47">
        <f t="shared" si="38"/>
        <v>2301.9647704822919</v>
      </c>
      <c r="E1224" s="47">
        <v>2009</v>
      </c>
      <c r="F1224" s="170">
        <f>USD_CNY!B1012</f>
        <v>6.8689</v>
      </c>
      <c r="G1224" s="162">
        <f t="shared" ref="G1224:G1228" si="44">+C1224-C1223</f>
        <v>0</v>
      </c>
    </row>
    <row r="1225" spans="1:10" x14ac:dyDescent="0.35">
      <c r="A1225" s="225">
        <v>43468</v>
      </c>
      <c r="B1225" s="47">
        <f t="shared" si="37"/>
        <v>2668.7920043864178</v>
      </c>
      <c r="C1225" s="47">
        <v>18350</v>
      </c>
      <c r="D1225" s="47">
        <f t="shared" si="38"/>
        <v>2281.0188071678785</v>
      </c>
      <c r="E1225" s="47">
        <v>1975</v>
      </c>
      <c r="F1225" s="170">
        <f>USD_CNY!B1013</f>
        <v>6.8757700000000002</v>
      </c>
      <c r="G1225" s="162">
        <f t="shared" si="44"/>
        <v>-150</v>
      </c>
    </row>
    <row r="1226" spans="1:10" x14ac:dyDescent="0.35">
      <c r="A1226" s="225">
        <v>43469</v>
      </c>
      <c r="B1226" s="47">
        <f t="shared" si="37"/>
        <v>2646.6798709816271</v>
      </c>
      <c r="C1226" s="47">
        <v>18200</v>
      </c>
      <c r="D1226" s="47">
        <f t="shared" si="38"/>
        <v>2262.1195478475447</v>
      </c>
      <c r="E1226" s="47">
        <v>1943</v>
      </c>
      <c r="F1226" s="170">
        <f>USD_CNY!B1014</f>
        <v>6.8765400000000003</v>
      </c>
      <c r="G1226" s="162">
        <f t="shared" si="44"/>
        <v>-150</v>
      </c>
    </row>
    <row r="1227" spans="1:10" x14ac:dyDescent="0.35">
      <c r="A1227" s="225">
        <v>43472</v>
      </c>
      <c r="B1227" s="47">
        <f t="shared" si="37"/>
        <v>2651.4687971655508</v>
      </c>
      <c r="C1227" s="47">
        <f>C1228+50</f>
        <v>18200</v>
      </c>
      <c r="D1227" s="47">
        <f t="shared" si="38"/>
        <v>2266.2126471500437</v>
      </c>
      <c r="E1227" s="47"/>
      <c r="F1227" s="170">
        <f>USD_CNY!B1015</f>
        <v>6.8641199999999998</v>
      </c>
      <c r="G1227" s="162">
        <f t="shared" si="44"/>
        <v>0</v>
      </c>
      <c r="J1227" s="25">
        <v>594</v>
      </c>
    </row>
    <row r="1228" spans="1:10" x14ac:dyDescent="0.35">
      <c r="A1228" s="225">
        <v>43473</v>
      </c>
      <c r="B1228" s="47">
        <f t="shared" si="37"/>
        <v>2651.6324705909856</v>
      </c>
      <c r="C1228" s="47">
        <v>18150</v>
      </c>
      <c r="D1228" s="47">
        <f t="shared" si="38"/>
        <v>2266.3525389666543</v>
      </c>
      <c r="E1228" s="47">
        <v>1934.5</v>
      </c>
      <c r="F1228" s="170">
        <f>USD_CNY!B1016</f>
        <v>6.8448399999999996</v>
      </c>
      <c r="G1228" s="162">
        <f t="shared" si="44"/>
        <v>-50</v>
      </c>
      <c r="J1228" s="25">
        <v>803</v>
      </c>
    </row>
    <row r="1229" spans="1:10" x14ac:dyDescent="0.35">
      <c r="A1229" s="225">
        <v>43474</v>
      </c>
      <c r="B1229" s="47">
        <f t="shared" si="37"/>
        <v>2652.2044306041776</v>
      </c>
      <c r="C1229" s="47">
        <v>18175</v>
      </c>
      <c r="D1229" s="47">
        <f t="shared" si="38"/>
        <v>2266.8413936787842</v>
      </c>
      <c r="E1229" s="47">
        <v>1940</v>
      </c>
      <c r="F1229" s="170">
        <f>USD_CNY!B1017</f>
        <v>6.8527899999999997</v>
      </c>
      <c r="G1229" s="162">
        <f t="shared" ref="G1229:G1235" si="45">+C1229-C1228</f>
        <v>25</v>
      </c>
      <c r="J1229" s="64">
        <f>J1228+J1227</f>
        <v>1397</v>
      </c>
    </row>
    <row r="1230" spans="1:10" x14ac:dyDescent="0.35">
      <c r="A1230" s="225">
        <v>43475</v>
      </c>
      <c r="B1230" s="47">
        <f t="shared" si="37"/>
        <v>2650.1209071782309</v>
      </c>
      <c r="C1230" s="47">
        <v>18050</v>
      </c>
      <c r="D1230" s="47">
        <f t="shared" si="38"/>
        <v>2265.0606044258384</v>
      </c>
      <c r="E1230" s="47">
        <v>1965.5</v>
      </c>
      <c r="F1230" s="170">
        <f>USD_CNY!B1018</f>
        <v>6.8110099999999996</v>
      </c>
      <c r="G1230" s="162">
        <f t="shared" si="45"/>
        <v>-125</v>
      </c>
      <c r="J1230" s="25">
        <f>J1229/7</f>
        <v>199.57142857142858</v>
      </c>
    </row>
    <row r="1231" spans="1:10" x14ac:dyDescent="0.35">
      <c r="A1231" s="225">
        <v>43480</v>
      </c>
      <c r="B1231" s="47">
        <f t="shared" si="37"/>
        <v>2632.3923270200285</v>
      </c>
      <c r="C1231" s="47">
        <v>17800</v>
      </c>
      <c r="D1231" s="47">
        <f t="shared" si="38"/>
        <v>2249.9079718119901</v>
      </c>
      <c r="E1231" s="47"/>
      <c r="F1231" s="170">
        <f>USD_CNY!B1019</f>
        <v>6.7619100000000003</v>
      </c>
      <c r="G1231" s="162">
        <f t="shared" si="45"/>
        <v>-250</v>
      </c>
      <c r="J1231" s="25">
        <f>J1230*4</f>
        <v>798.28571428571433</v>
      </c>
    </row>
    <row r="1232" spans="1:10" x14ac:dyDescent="0.35">
      <c r="A1232" s="225">
        <v>43481</v>
      </c>
      <c r="B1232" s="47">
        <f t="shared" si="37"/>
        <v>2628.1402954443106</v>
      </c>
      <c r="C1232" s="47">
        <v>17800</v>
      </c>
      <c r="D1232" s="47">
        <f t="shared" si="38"/>
        <v>2246.273756790009</v>
      </c>
      <c r="E1232" s="47">
        <v>1954</v>
      </c>
      <c r="F1232" s="170">
        <f>USD_CNY!B1020</f>
        <v>6.77285</v>
      </c>
      <c r="G1232" s="162">
        <f t="shared" si="45"/>
        <v>0</v>
      </c>
    </row>
    <row r="1233" spans="1:7" x14ac:dyDescent="0.35">
      <c r="A1233" s="225">
        <v>43482</v>
      </c>
      <c r="B1233" s="47">
        <f t="shared" si="37"/>
        <v>2637.0293660773727</v>
      </c>
      <c r="C1233" s="47">
        <v>17825</v>
      </c>
      <c r="D1233" s="47">
        <f t="shared" si="38"/>
        <v>2253.8712530575835</v>
      </c>
      <c r="E1233" s="47">
        <v>1952.5</v>
      </c>
      <c r="F1233" s="170">
        <f>USD_CNY!B1021</f>
        <v>6.7595000000000001</v>
      </c>
      <c r="G1233" s="162">
        <f t="shared" si="45"/>
        <v>25</v>
      </c>
    </row>
    <row r="1234" spans="1:7" x14ac:dyDescent="0.35">
      <c r="A1234" s="225">
        <v>43483</v>
      </c>
      <c r="B1234" s="47">
        <f t="shared" si="37"/>
        <v>2638.4971120449795</v>
      </c>
      <c r="C1234" s="47">
        <v>17875</v>
      </c>
      <c r="D1234" s="47">
        <f t="shared" si="38"/>
        <v>2255.125736790581</v>
      </c>
      <c r="E1234" s="47">
        <v>1948</v>
      </c>
      <c r="F1234" s="170">
        <f>USD_CNY!B1022</f>
        <v>6.7746899999999997</v>
      </c>
      <c r="G1234" s="162">
        <f t="shared" si="45"/>
        <v>50</v>
      </c>
    </row>
    <row r="1235" spans="1:7" x14ac:dyDescent="0.35">
      <c r="A1235" s="225">
        <v>43486</v>
      </c>
      <c r="B1235" s="47">
        <f t="shared" si="37"/>
        <v>2635.5604370398796</v>
      </c>
      <c r="C1235" s="47">
        <f>C1236+50</f>
        <v>17925</v>
      </c>
      <c r="D1235" s="47">
        <f t="shared" si="38"/>
        <v>2252.6157581537432</v>
      </c>
      <c r="E1235" s="47"/>
      <c r="F1235" s="170">
        <f>USD_CNY!B1023</f>
        <v>6.8012100000000002</v>
      </c>
      <c r="G1235" s="162">
        <f t="shared" si="45"/>
        <v>50</v>
      </c>
    </row>
    <row r="1236" spans="1:7" x14ac:dyDescent="0.35">
      <c r="A1236" s="225">
        <v>43487</v>
      </c>
      <c r="B1236" s="47">
        <f t="shared" si="37"/>
        <v>2628.7537868760846</v>
      </c>
      <c r="C1236" s="47">
        <v>17875</v>
      </c>
      <c r="D1236" s="47">
        <f t="shared" si="38"/>
        <v>2246.7981084410981</v>
      </c>
      <c r="E1236" s="47">
        <v>2003</v>
      </c>
      <c r="F1236" s="170">
        <f>USD_CNY!B1024</f>
        <v>6.7998000000000003</v>
      </c>
      <c r="G1236" s="162">
        <f t="shared" ref="G1236" si="46">+C1236-C1235</f>
        <v>-50</v>
      </c>
    </row>
    <row r="1237" spans="1:7" x14ac:dyDescent="0.35">
      <c r="A1237" s="225">
        <v>43488</v>
      </c>
      <c r="B1237" s="47"/>
      <c r="C1237" s="47"/>
      <c r="D1237" s="47"/>
      <c r="E1237" s="47"/>
      <c r="F1237" s="62"/>
    </row>
    <row r="1238" spans="1:7" x14ac:dyDescent="0.35">
      <c r="A1238" s="225">
        <v>43489</v>
      </c>
      <c r="B1238" s="47"/>
      <c r="C1238" s="47"/>
      <c r="D1238" s="47"/>
      <c r="E1238" s="47"/>
      <c r="F1238" s="62"/>
    </row>
    <row r="1239" spans="1:7" x14ac:dyDescent="0.35">
      <c r="A1239" s="225">
        <v>43490</v>
      </c>
      <c r="B1239" s="47"/>
      <c r="C1239" s="47"/>
      <c r="D1239" s="47"/>
      <c r="E1239" s="47"/>
      <c r="F1239" s="62"/>
    </row>
    <row r="1240" spans="1:7" x14ac:dyDescent="0.35">
      <c r="A1240" s="201"/>
      <c r="B1240" s="47"/>
      <c r="C1240" s="47"/>
      <c r="D1240" s="47"/>
      <c r="E1240" s="47"/>
      <c r="F1240" s="62"/>
    </row>
    <row r="1241" spans="1:7" x14ac:dyDescent="0.35">
      <c r="A1241" s="201"/>
      <c r="B1241" s="47"/>
      <c r="C1241" s="47"/>
      <c r="D1241" s="47"/>
      <c r="E1241" s="47"/>
      <c r="F1241" s="62"/>
    </row>
    <row r="1242" spans="1:7" x14ac:dyDescent="0.35">
      <c r="A1242" s="201"/>
      <c r="B1242" s="47"/>
      <c r="C1242" s="47"/>
      <c r="D1242" s="47"/>
      <c r="E1242" s="47"/>
      <c r="F1242" s="62"/>
    </row>
    <row r="1243" spans="1:7" x14ac:dyDescent="0.35">
      <c r="A1243" s="201"/>
      <c r="B1243" s="47"/>
      <c r="C1243" s="47"/>
      <c r="D1243" s="47"/>
      <c r="E1243" s="47"/>
      <c r="F1243" s="62"/>
    </row>
    <row r="1244" spans="1:7" x14ac:dyDescent="0.35">
      <c r="A1244" s="201"/>
      <c r="B1244" s="47"/>
      <c r="C1244" s="47"/>
      <c r="D1244" s="47"/>
      <c r="E1244" s="47"/>
      <c r="F1244" s="62"/>
    </row>
    <row r="1245" spans="1:7" x14ac:dyDescent="0.35">
      <c r="A1245" s="201"/>
      <c r="B1245" s="47"/>
      <c r="C1245" s="47"/>
      <c r="D1245" s="47"/>
      <c r="E1245" s="47"/>
      <c r="F1245" s="62"/>
    </row>
    <row r="1246" spans="1:7" x14ac:dyDescent="0.35">
      <c r="A1246" s="201"/>
      <c r="B1246" s="47"/>
      <c r="C1246" s="47"/>
      <c r="D1246" s="47"/>
      <c r="E1246" s="47"/>
      <c r="F1246" s="62"/>
    </row>
    <row r="1247" spans="1:7" x14ac:dyDescent="0.35">
      <c r="A1247" s="201"/>
      <c r="B1247" s="47"/>
      <c r="C1247" s="47"/>
      <c r="D1247" s="47"/>
      <c r="E1247" s="47"/>
      <c r="F1247" s="62"/>
    </row>
    <row r="1248" spans="1:7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223" activePane="bottomLeft" state="frozen"/>
      <selection pane="bottomLeft" activeCell="D1235" sqref="D1235:D1237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5" t="s">
        <v>749</v>
      </c>
      <c r="B1" s="395"/>
      <c r="C1" s="395"/>
      <c r="D1" s="395"/>
      <c r="E1" s="395"/>
      <c r="F1" s="395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1015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6" t="s">
        <v>752</v>
      </c>
      <c r="C3" s="397"/>
      <c r="D3" s="85" t="s">
        <v>11</v>
      </c>
      <c r="E3" s="85" t="s">
        <v>1</v>
      </c>
      <c r="F3" s="81" t="s">
        <v>660</v>
      </c>
      <c r="G3" s="74"/>
      <c r="I3" s="334" t="s">
        <v>1016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203" si="30">+IF(F1187=0,"",C1187/F1187)</f>
        <v>506.06938904353314</v>
      </c>
      <c r="C1187" s="257">
        <v>3527</v>
      </c>
      <c r="D1187" s="20">
        <f t="shared" ref="D1187:D1203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>
        <f t="shared" si="30"/>
        <v>513.7556259859042</v>
      </c>
      <c r="C1191" s="257">
        <v>3550</v>
      </c>
      <c r="D1191" s="20">
        <f t="shared" si="31"/>
        <v>439.10737263752497</v>
      </c>
      <c r="E1191" s="20">
        <f>AVERAGE(474.22,468.11)</f>
        <v>471.16500000000002</v>
      </c>
      <c r="F1191" s="170">
        <f>USD_CNY!B977</f>
        <v>6.9099000000000004</v>
      </c>
      <c r="G1191" s="184">
        <f t="shared" si="35"/>
        <v>0</v>
      </c>
    </row>
    <row r="1192" spans="1:7" x14ac:dyDescent="0.35">
      <c r="A1192" s="344">
        <v>43411</v>
      </c>
      <c r="B1192" s="374">
        <f t="shared" si="30"/>
        <v>511.49934328686015</v>
      </c>
      <c r="C1192" s="257">
        <v>3540</v>
      </c>
      <c r="D1192" s="20">
        <f t="shared" si="31"/>
        <v>437.17892588620526</v>
      </c>
      <c r="E1192" s="20">
        <f>AVERAGE(471.01,464.58)</f>
        <v>467.79499999999996</v>
      </c>
      <c r="F1192" s="170">
        <f>USD_CNY!B978</f>
        <v>6.9208299999999996</v>
      </c>
      <c r="G1192" s="184">
        <f t="shared" si="35"/>
        <v>-10</v>
      </c>
    </row>
    <row r="1193" spans="1:7" x14ac:dyDescent="0.35">
      <c r="A1193" s="344">
        <v>43412</v>
      </c>
      <c r="B1193" s="374">
        <f t="shared" si="30"/>
        <v>511.61802271705454</v>
      </c>
      <c r="C1193" s="257">
        <v>3539</v>
      </c>
      <c r="D1193" s="20">
        <f t="shared" si="31"/>
        <v>437.28036129662786</v>
      </c>
      <c r="E1193" s="20">
        <f>AVERAGE(471.01,464.58)</f>
        <v>467.79499999999996</v>
      </c>
      <c r="F1193" s="170">
        <f>USD_CNY!B979</f>
        <v>6.9172700000000003</v>
      </c>
      <c r="G1193" s="184">
        <f t="shared" si="35"/>
        <v>-1</v>
      </c>
    </row>
    <row r="1194" spans="1:7" x14ac:dyDescent="0.35">
      <c r="A1194" s="344">
        <v>43413</v>
      </c>
      <c r="B1194" s="374">
        <f t="shared" si="30"/>
        <v>509.42339720198589</v>
      </c>
      <c r="C1194" s="257">
        <v>3539</v>
      </c>
      <c r="D1194" s="20">
        <f t="shared" si="31"/>
        <v>435.40461299315035</v>
      </c>
      <c r="E1194" s="20">
        <f>AVERAGE(471.01,464.58)</f>
        <v>467.79499999999996</v>
      </c>
      <c r="F1194" s="170">
        <f>USD_CNY!B980</f>
        <v>6.9470700000000001</v>
      </c>
      <c r="G1194" s="184">
        <f t="shared" si="35"/>
        <v>0</v>
      </c>
    </row>
    <row r="1195" spans="1:7" x14ac:dyDescent="0.35">
      <c r="A1195" s="225">
        <v>43416</v>
      </c>
      <c r="B1195" s="374">
        <f t="shared" si="30"/>
        <v>504.2413564279617</v>
      </c>
      <c r="C1195" s="257">
        <f>C1196+24</f>
        <v>3503</v>
      </c>
      <c r="D1195" s="20">
        <f t="shared" si="31"/>
        <v>430.97551831449721</v>
      </c>
      <c r="E1195" s="20">
        <f>AVERAGE(471.01,464.58)</f>
        <v>467.79499999999996</v>
      </c>
      <c r="F1195" s="170">
        <f>USD_CNY!B981</f>
        <v>6.9470700000000001</v>
      </c>
      <c r="G1195" s="184">
        <f t="shared" ref="G1195:G1197" si="36">+C1195-C1194</f>
        <v>-36</v>
      </c>
    </row>
    <row r="1196" spans="1:7" x14ac:dyDescent="0.35">
      <c r="A1196" s="225">
        <v>43417</v>
      </c>
      <c r="B1196" s="374">
        <f t="shared" si="30"/>
        <v>499.80102775985989</v>
      </c>
      <c r="C1196" s="257">
        <v>3479</v>
      </c>
      <c r="D1196" s="20">
        <f t="shared" si="31"/>
        <v>427.18036560671788</v>
      </c>
      <c r="E1196" s="20">
        <f>AVERAGE(456.22,448.82)</f>
        <v>452.52</v>
      </c>
      <c r="F1196" s="170">
        <f>USD_CNY!B982</f>
        <v>6.9607700000000001</v>
      </c>
      <c r="G1196" s="184">
        <f t="shared" si="36"/>
        <v>-24</v>
      </c>
    </row>
    <row r="1197" spans="1:7" x14ac:dyDescent="0.35">
      <c r="A1197" s="225">
        <v>43418</v>
      </c>
      <c r="B1197" s="20">
        <f t="shared" si="30"/>
        <v>500.46216442687296</v>
      </c>
      <c r="C1197" s="257">
        <v>3476</v>
      </c>
      <c r="D1197" s="20">
        <f t="shared" si="31"/>
        <v>427.74543968108804</v>
      </c>
      <c r="E1197" s="20">
        <f>AVERAGE(454.61,448.5)</f>
        <v>451.55500000000001</v>
      </c>
      <c r="F1197" s="170">
        <f>USD_CNY!B983</f>
        <v>6.9455799999999996</v>
      </c>
      <c r="G1197" s="184">
        <f t="shared" si="36"/>
        <v>-3</v>
      </c>
    </row>
    <row r="1198" spans="1:7" x14ac:dyDescent="0.35">
      <c r="A1198" s="225">
        <v>43419</v>
      </c>
      <c r="B1198" s="20">
        <f t="shared" si="30"/>
        <v>501.11703437815538</v>
      </c>
      <c r="C1198" s="257">
        <v>3479</v>
      </c>
      <c r="D1198" s="20">
        <f t="shared" si="31"/>
        <v>428.30515758816699</v>
      </c>
      <c r="E1198" s="20">
        <f>AVERAGE(460.08,452.04)</f>
        <v>456.06</v>
      </c>
      <c r="F1198" s="170">
        <f>USD_CNY!B984</f>
        <v>6.9424900000000003</v>
      </c>
      <c r="G1198" s="184">
        <f t="shared" ref="G1198:G1199" si="37">+C1198-C1197</f>
        <v>3</v>
      </c>
    </row>
    <row r="1199" spans="1:7" x14ac:dyDescent="0.35">
      <c r="A1199" s="225">
        <v>43423</v>
      </c>
      <c r="B1199" s="20">
        <f t="shared" si="30"/>
        <v>507.90695792061678</v>
      </c>
      <c r="C1199" s="257">
        <f>C1200+3</f>
        <v>3514</v>
      </c>
      <c r="D1199" s="20">
        <f t="shared" si="31"/>
        <v>434.10851104326224</v>
      </c>
      <c r="E1199" s="20"/>
      <c r="F1199" s="170">
        <f>USD_CNY!B986</f>
        <v>6.91859</v>
      </c>
      <c r="G1199" s="184">
        <f t="shared" si="37"/>
        <v>35</v>
      </c>
    </row>
    <row r="1200" spans="1:7" x14ac:dyDescent="0.35">
      <c r="A1200" s="225">
        <v>43424</v>
      </c>
      <c r="B1200" s="20">
        <f t="shared" si="30"/>
        <v>506.47190602789561</v>
      </c>
      <c r="C1200" s="257">
        <v>3511</v>
      </c>
      <c r="D1200" s="20">
        <f t="shared" si="31"/>
        <v>432.88197096401336</v>
      </c>
      <c r="E1200" s="20">
        <f>AVERAGE(466.51,457.83)</f>
        <v>462.16999999999996</v>
      </c>
      <c r="F1200" s="170">
        <f>USD_CNY!B987</f>
        <v>6.9322699999999999</v>
      </c>
      <c r="G1200" s="184">
        <f t="shared" ref="G1200" si="38">+C1200-C1199</f>
        <v>-3</v>
      </c>
    </row>
    <row r="1201" spans="1:7" x14ac:dyDescent="0.35">
      <c r="A1201" s="225">
        <v>43425</v>
      </c>
      <c r="B1201" s="20">
        <f t="shared" si="30"/>
        <v>503.88824884792626</v>
      </c>
      <c r="C1201" s="257">
        <v>3499</v>
      </c>
      <c r="D1201" s="20">
        <f t="shared" si="31"/>
        <v>430.67371696403956</v>
      </c>
      <c r="E1201" s="20">
        <f>AVERAGE(463.29,455.25)</f>
        <v>459.27</v>
      </c>
      <c r="F1201" s="170">
        <f>USD_CNY!B988</f>
        <v>6.944</v>
      </c>
      <c r="G1201" s="184">
        <f t="shared" ref="G1201:G1204" si="39">+C1201-C1200</f>
        <v>-12</v>
      </c>
    </row>
    <row r="1202" spans="1:7" x14ac:dyDescent="0.35">
      <c r="A1202" s="225">
        <v>43426</v>
      </c>
      <c r="B1202" s="20">
        <f t="shared" si="30"/>
        <v>507.66994807723978</v>
      </c>
      <c r="C1202" s="257">
        <v>3514</v>
      </c>
      <c r="D1202" s="20">
        <f t="shared" si="31"/>
        <v>433.90593852755541</v>
      </c>
      <c r="E1202" s="20">
        <f>AVERAGE(469.72,461.04)</f>
        <v>465.38</v>
      </c>
      <c r="F1202" s="170">
        <f>USD_CNY!B989</f>
        <v>6.9218200000000003</v>
      </c>
      <c r="G1202" s="184">
        <f t="shared" si="39"/>
        <v>15</v>
      </c>
    </row>
    <row r="1203" spans="1:7" x14ac:dyDescent="0.35">
      <c r="A1203" s="225">
        <v>43427</v>
      </c>
      <c r="B1203" s="20">
        <f t="shared" si="30"/>
        <v>507.66994807723978</v>
      </c>
      <c r="C1203" s="257">
        <v>3514</v>
      </c>
      <c r="D1203" s="20">
        <f t="shared" si="31"/>
        <v>433.90593852755541</v>
      </c>
      <c r="E1203" s="20">
        <f>AVERAGE(469.72,461.04)</f>
        <v>465.38</v>
      </c>
      <c r="F1203" s="170">
        <f>USD_CNY!B990</f>
        <v>6.9218200000000003</v>
      </c>
      <c r="G1203" s="184">
        <f t="shared" si="39"/>
        <v>0</v>
      </c>
    </row>
    <row r="1204" spans="1:7" x14ac:dyDescent="0.35">
      <c r="A1204" s="225">
        <v>43430</v>
      </c>
      <c r="B1204" s="20">
        <f t="shared" ref="B1204:B1237" si="40">+IF(F1204=0,"",C1204/F1204)</f>
        <v>502.68342758347438</v>
      </c>
      <c r="C1204" s="257">
        <v>3489</v>
      </c>
      <c r="D1204" s="20">
        <f t="shared" ref="D1204:D1237" si="41">+B1204/1.17</f>
        <v>429.64395519955076</v>
      </c>
      <c r="E1204" s="20">
        <f>AVERAGE(469,461.04)</f>
        <v>465.02</v>
      </c>
      <c r="F1204" s="170">
        <f>USD_CNY!B991</f>
        <v>6.9407500000000004</v>
      </c>
      <c r="G1204" s="184">
        <f t="shared" si="39"/>
        <v>-25</v>
      </c>
    </row>
    <row r="1205" spans="1:7" x14ac:dyDescent="0.35">
      <c r="A1205" s="225">
        <v>43431</v>
      </c>
      <c r="B1205" s="20">
        <f t="shared" si="40"/>
        <v>500.57842059522648</v>
      </c>
      <c r="C1205" s="257">
        <v>3479</v>
      </c>
      <c r="D1205" s="20">
        <f t="shared" si="41"/>
        <v>427.84480392754404</v>
      </c>
      <c r="E1205" s="20">
        <f>AVERAGE(460.4,452.36)</f>
        <v>456.38</v>
      </c>
      <c r="F1205" s="170">
        <f>USD_CNY!B992</f>
        <v>6.9499599999999999</v>
      </c>
      <c r="G1205" s="184">
        <f t="shared" ref="G1205:G1208" si="42">+C1205-C1204</f>
        <v>-10</v>
      </c>
    </row>
    <row r="1206" spans="1:7" x14ac:dyDescent="0.35">
      <c r="A1206" s="225">
        <v>43432</v>
      </c>
      <c r="B1206" s="20">
        <f t="shared" si="40"/>
        <v>498.38141140925114</v>
      </c>
      <c r="C1206" s="257">
        <v>3464</v>
      </c>
      <c r="D1206" s="20">
        <f t="shared" si="41"/>
        <v>425.96701829850525</v>
      </c>
      <c r="E1206" s="20">
        <f>AVERAGE(458.15,452.04)</f>
        <v>455.09500000000003</v>
      </c>
      <c r="F1206" s="170">
        <f>USD_CNY!B993</f>
        <v>6.9504999999999999</v>
      </c>
      <c r="G1206" s="184">
        <f t="shared" si="42"/>
        <v>-15</v>
      </c>
    </row>
    <row r="1207" spans="1:7" x14ac:dyDescent="0.35">
      <c r="A1207" s="225">
        <v>43433</v>
      </c>
      <c r="B1207" s="20">
        <f t="shared" si="40"/>
        <v>503.59681122614438</v>
      </c>
      <c r="C1207" s="257">
        <v>3494</v>
      </c>
      <c r="D1207" s="20">
        <f t="shared" si="41"/>
        <v>430.4246249796106</v>
      </c>
      <c r="E1207" s="20">
        <f>AVERAGE(463.61,457.83)</f>
        <v>460.72</v>
      </c>
      <c r="F1207" s="170">
        <f>USD_CNY!B994</f>
        <v>6.9380899999999999</v>
      </c>
      <c r="G1207" s="184">
        <f t="shared" si="42"/>
        <v>30</v>
      </c>
    </row>
    <row r="1208" spans="1:7" x14ac:dyDescent="0.35">
      <c r="A1208" s="225">
        <v>43434</v>
      </c>
      <c r="B1208" s="20">
        <f t="shared" si="40"/>
        <v>503.83935974620567</v>
      </c>
      <c r="C1208" s="257">
        <v>3494</v>
      </c>
      <c r="D1208" s="20">
        <f t="shared" si="41"/>
        <v>430.63193140701344</v>
      </c>
      <c r="E1208" s="20">
        <f>AVERAGE(463.29,457.83)</f>
        <v>460.56</v>
      </c>
      <c r="F1208" s="170">
        <f>USD_CNY!B995</f>
        <v>6.9347500000000002</v>
      </c>
      <c r="G1208" s="184">
        <f t="shared" si="42"/>
        <v>0</v>
      </c>
    </row>
    <row r="1209" spans="1:7" x14ac:dyDescent="0.35">
      <c r="A1209" s="225">
        <v>43437</v>
      </c>
      <c r="B1209" s="20">
        <f t="shared" si="40"/>
        <v>503.64360998555856</v>
      </c>
      <c r="C1209" s="257">
        <v>3484</v>
      </c>
      <c r="D1209" s="20">
        <f t="shared" si="41"/>
        <v>430.46462391928083</v>
      </c>
      <c r="E1209" s="20">
        <f>AVERAGE(462.97,454.93)</f>
        <v>458.95000000000005</v>
      </c>
      <c r="F1209" s="170">
        <f>USD_CNY!B996</f>
        <v>6.9175899999999997</v>
      </c>
      <c r="G1209" s="184">
        <f t="shared" ref="G1209:G1215" si="43">+C1209-C1208</f>
        <v>-10</v>
      </c>
    </row>
    <row r="1210" spans="1:7" x14ac:dyDescent="0.35">
      <c r="A1210" s="225">
        <v>43438</v>
      </c>
      <c r="B1210" s="20">
        <f t="shared" si="40"/>
        <v>508.41267277518529</v>
      </c>
      <c r="C1210" s="257">
        <v>3494</v>
      </c>
      <c r="D1210" s="20">
        <f t="shared" si="41"/>
        <v>434.54074596169687</v>
      </c>
      <c r="E1210" s="20">
        <f>AVERAGE(467.15,460.72)</f>
        <v>463.935</v>
      </c>
      <c r="F1210" s="170">
        <f>USD_CNY!B997</f>
        <v>6.8723700000000001</v>
      </c>
      <c r="G1210" s="184">
        <f t="shared" si="43"/>
        <v>10</v>
      </c>
    </row>
    <row r="1211" spans="1:7" x14ac:dyDescent="0.35">
      <c r="A1211" s="225">
        <v>43439</v>
      </c>
      <c r="B1211" s="20">
        <f t="shared" si="40"/>
        <v>510.21376701016777</v>
      </c>
      <c r="C1211" s="257">
        <v>3494</v>
      </c>
      <c r="D1211" s="20">
        <f t="shared" si="41"/>
        <v>436.08014274373318</v>
      </c>
      <c r="E1211" s="20">
        <f>AVERAGE(470.04,461.68)</f>
        <v>465.86</v>
      </c>
      <c r="F1211" s="170">
        <f>USD_CNY!B998</f>
        <v>6.8481100000000001</v>
      </c>
      <c r="G1211" s="184">
        <f t="shared" si="43"/>
        <v>0</v>
      </c>
    </row>
    <row r="1212" spans="1:7" x14ac:dyDescent="0.35">
      <c r="A1212" s="225">
        <v>43440</v>
      </c>
      <c r="B1212" s="20">
        <f t="shared" si="40"/>
        <v>510.30379045313344</v>
      </c>
      <c r="C1212" s="257">
        <v>3499</v>
      </c>
      <c r="D1212" s="20">
        <f t="shared" si="41"/>
        <v>436.15708585737906</v>
      </c>
      <c r="E1212" s="20">
        <f>AVERAGE(469.08,460.08)</f>
        <v>464.58</v>
      </c>
      <c r="F1212" s="170">
        <f>USD_CNY!B999</f>
        <v>6.8567</v>
      </c>
      <c r="G1212" s="184">
        <f t="shared" si="43"/>
        <v>5</v>
      </c>
    </row>
    <row r="1213" spans="1:7" x14ac:dyDescent="0.35">
      <c r="A1213" s="225">
        <v>43445</v>
      </c>
      <c r="B1213" s="20">
        <f t="shared" si="40"/>
        <v>509.21256549654379</v>
      </c>
      <c r="C1213" s="257">
        <v>3519</v>
      </c>
      <c r="D1213" s="20">
        <f t="shared" si="41"/>
        <v>435.22441495431093</v>
      </c>
      <c r="E1213" s="20">
        <f>AVERAGE(472.29,464.9)</f>
        <v>468.59500000000003</v>
      </c>
      <c r="F1213" s="170">
        <f>USD_CNY!B1000</f>
        <v>6.9106699999999996</v>
      </c>
      <c r="G1213" s="184">
        <v>-2</v>
      </c>
    </row>
    <row r="1214" spans="1:7" x14ac:dyDescent="0.35">
      <c r="A1214" s="225">
        <v>43446</v>
      </c>
      <c r="B1214" s="20">
        <f t="shared" si="40"/>
        <v>509.06067151389772</v>
      </c>
      <c r="C1214" s="257">
        <f>C1215-10</f>
        <v>3514</v>
      </c>
      <c r="D1214" s="20">
        <f t="shared" si="41"/>
        <v>435.09459103751942</v>
      </c>
      <c r="E1214" s="20">
        <f>AVERAGE(472.29,464.9)</f>
        <v>468.59500000000003</v>
      </c>
      <c r="F1214" s="170">
        <f>USD_CNY!B1001</f>
        <v>6.9029100000000003</v>
      </c>
      <c r="G1214" s="184">
        <f t="shared" si="43"/>
        <v>-5</v>
      </c>
    </row>
    <row r="1215" spans="1:7" x14ac:dyDescent="0.35">
      <c r="A1215" s="225">
        <v>43447</v>
      </c>
      <c r="B1215" s="20">
        <f t="shared" si="40"/>
        <v>513.14235623204399</v>
      </c>
      <c r="C1215" s="257">
        <v>3524</v>
      </c>
      <c r="D1215" s="20">
        <f t="shared" si="41"/>
        <v>438.58321045473849</v>
      </c>
      <c r="E1215" s="20">
        <f>AVERAGE(477.12,471.33)</f>
        <v>474.22500000000002</v>
      </c>
      <c r="F1215" s="170">
        <f>USD_CNY!B1002</f>
        <v>6.8674900000000001</v>
      </c>
      <c r="G1215" s="184">
        <f t="shared" si="43"/>
        <v>10</v>
      </c>
    </row>
    <row r="1216" spans="1:7" x14ac:dyDescent="0.35">
      <c r="A1216" s="225">
        <v>43448</v>
      </c>
      <c r="B1216" s="20">
        <f t="shared" si="40"/>
        <v>511.72577664093251</v>
      </c>
      <c r="C1216" s="257">
        <v>3519</v>
      </c>
      <c r="D1216" s="20">
        <f t="shared" si="41"/>
        <v>437.37245866746372</v>
      </c>
      <c r="E1216" s="20">
        <f>AVERAGE(476.47,467.15)</f>
        <v>471.81</v>
      </c>
      <c r="F1216" s="170">
        <f>USD_CNY!B1003</f>
        <v>6.8767300000000002</v>
      </c>
      <c r="G1216" s="184">
        <f t="shared" ref="G1216:G1219" si="44">+C1216-C1215</f>
        <v>-5</v>
      </c>
    </row>
    <row r="1217" spans="1:7" x14ac:dyDescent="0.35">
      <c r="A1217" s="225">
        <v>43451</v>
      </c>
      <c r="B1217" s="20">
        <f t="shared" si="40"/>
        <v>508.17559742520501</v>
      </c>
      <c r="C1217" s="257">
        <v>3506</v>
      </c>
      <c r="D1217" s="20">
        <f t="shared" si="41"/>
        <v>434.33811745744021</v>
      </c>
      <c r="E1217" s="20">
        <f>AVERAGE(472.29,465.86)</f>
        <v>469.07500000000005</v>
      </c>
      <c r="F1217" s="170">
        <f>USD_CNY!B1004</f>
        <v>6.8991899999999999</v>
      </c>
      <c r="G1217" s="184">
        <f t="shared" si="44"/>
        <v>-13</v>
      </c>
    </row>
    <row r="1218" spans="1:7" x14ac:dyDescent="0.35">
      <c r="A1218" s="225">
        <v>43452</v>
      </c>
      <c r="B1218" s="20">
        <f t="shared" si="40"/>
        <v>509.28938622947584</v>
      </c>
      <c r="C1218" s="257">
        <v>3514</v>
      </c>
      <c r="D1218" s="20">
        <f t="shared" si="41"/>
        <v>435.29007370040671</v>
      </c>
      <c r="E1218" s="20"/>
      <c r="F1218" s="170">
        <f>USD_CNY!B1005</f>
        <v>6.8998100000000004</v>
      </c>
      <c r="G1218" s="184">
        <f t="shared" si="44"/>
        <v>8</v>
      </c>
    </row>
    <row r="1219" spans="1:7" x14ac:dyDescent="0.35">
      <c r="A1219" s="225">
        <v>43453</v>
      </c>
      <c r="B1219" s="20">
        <f t="shared" si="40"/>
        <v>510.44272263233887</v>
      </c>
      <c r="C1219" s="257">
        <v>3514</v>
      </c>
      <c r="D1219" s="20">
        <f t="shared" si="41"/>
        <v>436.27583130969134</v>
      </c>
      <c r="E1219" s="20">
        <f>AVERAGE(475.51,468.44)</f>
        <v>471.97500000000002</v>
      </c>
      <c r="F1219" s="170">
        <f>USD_CNY!B1006</f>
        <v>6.88422</v>
      </c>
      <c r="G1219" s="184">
        <f t="shared" si="44"/>
        <v>0</v>
      </c>
    </row>
    <row r="1220" spans="1:7" x14ac:dyDescent="0.35">
      <c r="A1220" s="225">
        <v>43454</v>
      </c>
      <c r="B1220" s="20">
        <f t="shared" si="40"/>
        <v>509.25966159434773</v>
      </c>
      <c r="C1220" s="257">
        <v>3516</v>
      </c>
      <c r="D1220" s="20">
        <f t="shared" si="41"/>
        <v>435.26466802935704</v>
      </c>
      <c r="E1220" s="20">
        <f>AVERAGE(476.15,465.86)</f>
        <v>471.005</v>
      </c>
      <c r="F1220" s="170">
        <f>USD_CNY!B1007</f>
        <v>6.9041399999999999</v>
      </c>
      <c r="G1220" s="184">
        <f t="shared" ref="G1220:G1221" si="45">+C1220-C1219</f>
        <v>2</v>
      </c>
    </row>
    <row r="1221" spans="1:7" x14ac:dyDescent="0.35">
      <c r="A1221" s="225">
        <v>43459</v>
      </c>
      <c r="B1221" s="20">
        <f t="shared" si="40"/>
        <v>513.060851977011</v>
      </c>
      <c r="C1221" s="257">
        <f>C1222-20</f>
        <v>3536</v>
      </c>
      <c r="D1221" s="20">
        <f t="shared" si="41"/>
        <v>438.51354869830004</v>
      </c>
      <c r="E1221" s="20"/>
      <c r="F1221" s="170">
        <f>USD_CNY!B1008</f>
        <v>6.8919699999999997</v>
      </c>
      <c r="G1221" s="184">
        <f t="shared" si="45"/>
        <v>20</v>
      </c>
    </row>
    <row r="1222" spans="1:7" x14ac:dyDescent="0.35">
      <c r="A1222" s="225">
        <v>43460</v>
      </c>
      <c r="B1222" s="20">
        <f t="shared" si="40"/>
        <v>513.94710218239629</v>
      </c>
      <c r="C1222" s="257">
        <v>3556</v>
      </c>
      <c r="D1222" s="20">
        <f t="shared" si="41"/>
        <v>439.27102750632167</v>
      </c>
      <c r="E1222" s="20">
        <f>AVERAGE(480.01,471.01)</f>
        <v>475.51</v>
      </c>
      <c r="F1222" s="170">
        <f>USD_CNY!B1009</f>
        <v>6.9189999999999996</v>
      </c>
      <c r="G1222" s="184">
        <f t="shared" ref="G1222" si="46">+C1222-C1221</f>
        <v>20</v>
      </c>
    </row>
    <row r="1223" spans="1:7" x14ac:dyDescent="0.35">
      <c r="A1223" s="225">
        <v>43461</v>
      </c>
      <c r="B1223" s="20">
        <f t="shared" si="40"/>
        <v>519.40475257525497</v>
      </c>
      <c r="C1223" s="257">
        <f>C1224-30</f>
        <v>3579</v>
      </c>
      <c r="D1223" s="20">
        <f t="shared" si="41"/>
        <v>443.93568596175641</v>
      </c>
      <c r="E1223" s="20"/>
      <c r="F1223" s="170">
        <f>USD_CNY!B1010</f>
        <v>6.8905799999999999</v>
      </c>
      <c r="G1223" s="184">
        <f t="shared" ref="G1223:G1224" si="47">+C1223-C1222</f>
        <v>23</v>
      </c>
    </row>
    <row r="1224" spans="1:7" x14ac:dyDescent="0.35">
      <c r="A1224" s="225">
        <v>43462</v>
      </c>
      <c r="B1224" s="20">
        <f t="shared" si="40"/>
        <v>525.21359996158037</v>
      </c>
      <c r="C1224" s="257">
        <v>3609</v>
      </c>
      <c r="D1224" s="20">
        <f t="shared" si="41"/>
        <v>448.90051278767555</v>
      </c>
      <c r="E1224" s="20">
        <f>AVERAGE(496.41,487.08)</f>
        <v>491.745</v>
      </c>
      <c r="F1224" s="170">
        <f>USD_CNY!B1011</f>
        <v>6.8714899999999997</v>
      </c>
      <c r="G1224" s="184">
        <f t="shared" si="47"/>
        <v>30</v>
      </c>
    </row>
    <row r="1225" spans="1:7" x14ac:dyDescent="0.35">
      <c r="A1225" s="225">
        <v>43467</v>
      </c>
      <c r="B1225" s="20">
        <f t="shared" si="40"/>
        <v>528.32331232075001</v>
      </c>
      <c r="C1225" s="257">
        <v>3629</v>
      </c>
      <c r="D1225" s="20">
        <f t="shared" si="41"/>
        <v>451.55838659893163</v>
      </c>
      <c r="E1225" s="20">
        <f>AVERAGE(501.23,490.94)</f>
        <v>496.08500000000004</v>
      </c>
      <c r="F1225" s="170">
        <f>USD_CNY!B1012</f>
        <v>6.8689</v>
      </c>
      <c r="G1225" s="184">
        <f t="shared" ref="G1225:G1229" si="48">+C1225-C1224</f>
        <v>20</v>
      </c>
    </row>
    <row r="1226" spans="1:7" x14ac:dyDescent="0.35">
      <c r="A1226" s="225">
        <v>43468</v>
      </c>
      <c r="B1226" s="20">
        <f t="shared" si="40"/>
        <v>533.90383913365338</v>
      </c>
      <c r="C1226" s="257">
        <v>3671</v>
      </c>
      <c r="D1226" s="20">
        <f t="shared" si="41"/>
        <v>456.3280676356012</v>
      </c>
      <c r="E1226" s="20">
        <f>AVERAGE(503.8,496.09)</f>
        <v>499.94499999999999</v>
      </c>
      <c r="F1226" s="170">
        <f>USD_CNY!B1013</f>
        <v>6.8757700000000002</v>
      </c>
      <c r="G1226" s="184">
        <f t="shared" si="48"/>
        <v>42</v>
      </c>
    </row>
    <row r="1227" spans="1:7" x14ac:dyDescent="0.35">
      <c r="A1227" s="225">
        <v>43469</v>
      </c>
      <c r="B1227" s="20">
        <f t="shared" si="40"/>
        <v>543.29648340589893</v>
      </c>
      <c r="C1227" s="257">
        <v>3736</v>
      </c>
      <c r="D1227" s="20">
        <f t="shared" si="41"/>
        <v>464.35596872299055</v>
      </c>
      <c r="E1227" s="20"/>
      <c r="F1227" s="170">
        <f>USD_CNY!B1014</f>
        <v>6.8765400000000003</v>
      </c>
      <c r="G1227" s="184">
        <f t="shared" si="48"/>
        <v>65</v>
      </c>
    </row>
    <row r="1228" spans="1:7" x14ac:dyDescent="0.35">
      <c r="A1228" s="225">
        <v>43472</v>
      </c>
      <c r="B1228" s="20">
        <f t="shared" si="40"/>
        <v>540.63740144403073</v>
      </c>
      <c r="C1228" s="257">
        <f>C1229+20</f>
        <v>3711</v>
      </c>
      <c r="D1228" s="20">
        <f t="shared" si="41"/>
        <v>462.08324909746221</v>
      </c>
      <c r="E1228" s="20"/>
      <c r="F1228" s="170">
        <f>USD_CNY!B1015</f>
        <v>6.8641199999999998</v>
      </c>
      <c r="G1228" s="184">
        <f t="shared" si="48"/>
        <v>-25</v>
      </c>
    </row>
    <row r="1229" spans="1:7" x14ac:dyDescent="0.35">
      <c r="A1229" s="225">
        <v>43473</v>
      </c>
      <c r="B1229" s="20">
        <f t="shared" si="40"/>
        <v>539.23831674662961</v>
      </c>
      <c r="C1229" s="257">
        <v>3691</v>
      </c>
      <c r="D1229" s="20">
        <f t="shared" si="41"/>
        <v>460.88745021079455</v>
      </c>
      <c r="E1229" s="20">
        <f>AVERAGE(506.7,496.41)</f>
        <v>501.55500000000001</v>
      </c>
      <c r="F1229" s="170">
        <f>USD_CNY!B1016</f>
        <v>6.8448399999999996</v>
      </c>
      <c r="G1229" s="184">
        <f t="shared" si="48"/>
        <v>-20</v>
      </c>
    </row>
    <row r="1230" spans="1:7" x14ac:dyDescent="0.35">
      <c r="A1230" s="225">
        <v>43474</v>
      </c>
      <c r="B1230" s="20">
        <f t="shared" si="40"/>
        <v>539.34237004198292</v>
      </c>
      <c r="C1230" s="257">
        <v>3696</v>
      </c>
      <c r="D1230" s="20">
        <f t="shared" si="41"/>
        <v>460.97638465126749</v>
      </c>
      <c r="E1230" s="20">
        <f>AVERAGE(506.37,498.98)</f>
        <v>502.67500000000001</v>
      </c>
      <c r="F1230" s="170">
        <f>USD_CNY!B1017</f>
        <v>6.8527899999999997</v>
      </c>
      <c r="G1230" s="184">
        <f t="shared" ref="G1230:G1232" si="49">+C1230-C1229</f>
        <v>5</v>
      </c>
    </row>
    <row r="1231" spans="1:7" x14ac:dyDescent="0.35">
      <c r="A1231" s="225">
        <v>43475</v>
      </c>
      <c r="B1231" s="20">
        <f t="shared" si="40"/>
        <v>543.38490179870541</v>
      </c>
      <c r="C1231" s="257">
        <v>3701</v>
      </c>
      <c r="D1231" s="20">
        <f t="shared" si="41"/>
        <v>464.43153999889353</v>
      </c>
      <c r="E1231" s="20">
        <f>AVERAGE(509.59,502.84)</f>
        <v>506.21499999999997</v>
      </c>
      <c r="F1231" s="170">
        <f>USD_CNY!B1018</f>
        <v>6.8110099999999996</v>
      </c>
      <c r="G1231" s="184">
        <f t="shared" si="49"/>
        <v>5</v>
      </c>
    </row>
    <row r="1232" spans="1:7" x14ac:dyDescent="0.35">
      <c r="A1232" s="225">
        <v>43480</v>
      </c>
      <c r="B1232" s="20">
        <f t="shared" si="40"/>
        <v>546.29535146134742</v>
      </c>
      <c r="C1232" s="257">
        <v>3694</v>
      </c>
      <c r="D1232" s="20">
        <f t="shared" si="41"/>
        <v>466.91910381311749</v>
      </c>
      <c r="E1232" s="20"/>
      <c r="F1232" s="170">
        <f>USD_CNY!B1019</f>
        <v>6.7619100000000003</v>
      </c>
      <c r="G1232" s="184">
        <f t="shared" si="49"/>
        <v>-7</v>
      </c>
    </row>
    <row r="1233" spans="1:7" x14ac:dyDescent="0.35">
      <c r="A1233" s="225">
        <v>43481</v>
      </c>
      <c r="B1233" s="20">
        <f t="shared" si="40"/>
        <v>545.41293547029682</v>
      </c>
      <c r="C1233" s="257">
        <v>3694</v>
      </c>
      <c r="D1233" s="20">
        <f t="shared" si="41"/>
        <v>466.16490211136482</v>
      </c>
      <c r="E1233" s="20">
        <f>AVERAGE(504.45,497.69)</f>
        <v>501.07</v>
      </c>
      <c r="F1233" s="170">
        <f>USD_CNY!B1020</f>
        <v>6.77285</v>
      </c>
      <c r="G1233" s="184">
        <f t="shared" ref="G1233:G1237" si="50">+C1233-C1232</f>
        <v>0</v>
      </c>
    </row>
    <row r="1234" spans="1:7" x14ac:dyDescent="0.35">
      <c r="A1234" s="225">
        <v>43482</v>
      </c>
      <c r="B1234" s="20">
        <f t="shared" si="40"/>
        <v>545.75042532731709</v>
      </c>
      <c r="C1234" s="257">
        <v>3689</v>
      </c>
      <c r="D1234" s="20">
        <f t="shared" si="41"/>
        <v>466.45335498061291</v>
      </c>
      <c r="E1234" s="20">
        <f>AVERAGE(504.45,498.98)</f>
        <v>501.71500000000003</v>
      </c>
      <c r="F1234" s="170">
        <f>USD_CNY!B1021</f>
        <v>6.7595000000000001</v>
      </c>
      <c r="G1234" s="184">
        <f t="shared" si="50"/>
        <v>-5</v>
      </c>
    </row>
    <row r="1235" spans="1:7" x14ac:dyDescent="0.35">
      <c r="A1235" s="225">
        <v>43483</v>
      </c>
      <c r="B1235" s="20">
        <f t="shared" si="40"/>
        <v>544.52676063406591</v>
      </c>
      <c r="C1235" s="257">
        <v>3689</v>
      </c>
      <c r="D1235" s="20">
        <f t="shared" si="41"/>
        <v>465.40748772142388</v>
      </c>
      <c r="E1235" s="20">
        <f>AVERAGE(502.52,497.05)</f>
        <v>499.78499999999997</v>
      </c>
      <c r="F1235" s="170">
        <f>USD_CNY!B1022</f>
        <v>6.7746899999999997</v>
      </c>
      <c r="G1235" s="184">
        <f t="shared" si="50"/>
        <v>0</v>
      </c>
    </row>
    <row r="1236" spans="1:7" x14ac:dyDescent="0.35">
      <c r="A1236" s="225">
        <v>43486</v>
      </c>
      <c r="B1236" s="20">
        <f t="shared" si="40"/>
        <v>537.25734097315035</v>
      </c>
      <c r="C1236" s="257">
        <f>C1237+23</f>
        <v>3654</v>
      </c>
      <c r="D1236" s="20">
        <f t="shared" si="41"/>
        <v>459.19430852406015</v>
      </c>
      <c r="E1236" s="20"/>
      <c r="F1236" s="170">
        <f>USD_CNY!B1023</f>
        <v>6.8012100000000002</v>
      </c>
      <c r="G1236" s="184">
        <f t="shared" si="50"/>
        <v>-35</v>
      </c>
    </row>
    <row r="1237" spans="1:7" x14ac:dyDescent="0.35">
      <c r="A1237" s="225">
        <v>43487</v>
      </c>
      <c r="B1237" s="20">
        <f t="shared" si="40"/>
        <v>533.98629371452103</v>
      </c>
      <c r="C1237" s="257">
        <v>3631</v>
      </c>
      <c r="D1237" s="20">
        <f t="shared" si="41"/>
        <v>456.39854163634277</v>
      </c>
      <c r="E1237" s="20"/>
      <c r="F1237" s="170">
        <f>USD_CNY!B1024</f>
        <v>6.7998000000000003</v>
      </c>
      <c r="G1237" s="184">
        <f t="shared" si="50"/>
        <v>-23</v>
      </c>
    </row>
    <row r="1238" spans="1:7" x14ac:dyDescent="0.35">
      <c r="A1238" s="225">
        <v>43488</v>
      </c>
      <c r="B1238" s="20"/>
      <c r="C1238" s="257"/>
      <c r="D1238" s="20"/>
      <c r="E1238" s="20"/>
      <c r="F1238" s="58"/>
    </row>
    <row r="1239" spans="1:7" x14ac:dyDescent="0.35">
      <c r="A1239" s="225">
        <v>43489</v>
      </c>
      <c r="B1239" s="20"/>
      <c r="C1239" s="257"/>
      <c r="D1239" s="20"/>
      <c r="E1239" s="20"/>
      <c r="F1239" s="58"/>
    </row>
    <row r="1240" spans="1:7" x14ac:dyDescent="0.35">
      <c r="A1240" s="225">
        <v>43490</v>
      </c>
      <c r="B1240" s="20"/>
      <c r="C1240" s="257"/>
      <c r="D1240" s="20"/>
      <c r="E1240" s="20"/>
      <c r="F1240" s="58"/>
    </row>
    <row r="1241" spans="1:7" x14ac:dyDescent="0.35">
      <c r="A1241" s="224"/>
      <c r="B1241" s="20"/>
      <c r="C1241" s="257"/>
      <c r="D1241" s="20"/>
      <c r="E1241" s="20"/>
      <c r="F1241" s="58"/>
    </row>
    <row r="1242" spans="1:7" x14ac:dyDescent="0.35">
      <c r="A1242" s="224"/>
      <c r="B1242" s="20"/>
      <c r="C1242" s="257"/>
      <c r="D1242" s="20"/>
      <c r="E1242" s="20"/>
      <c r="F1242" s="58"/>
    </row>
    <row r="1243" spans="1:7" x14ac:dyDescent="0.35">
      <c r="A1243" s="224"/>
      <c r="B1243" s="20"/>
      <c r="C1243" s="257"/>
      <c r="D1243" s="20"/>
      <c r="E1243" s="20"/>
      <c r="F1243" s="58"/>
    </row>
    <row r="1244" spans="1:7" x14ac:dyDescent="0.35">
      <c r="A1244" s="224"/>
      <c r="B1244" s="20"/>
      <c r="C1244" s="257"/>
      <c r="D1244" s="20"/>
      <c r="E1244" s="20"/>
      <c r="F1244" s="58"/>
    </row>
    <row r="1245" spans="1:7" x14ac:dyDescent="0.35">
      <c r="A1245" s="224"/>
      <c r="B1245" s="20"/>
      <c r="C1245" s="257"/>
      <c r="D1245" s="20"/>
      <c r="E1245" s="20"/>
      <c r="F1245" s="58"/>
    </row>
    <row r="1246" spans="1:7" x14ac:dyDescent="0.35">
      <c r="A1246" s="224"/>
      <c r="B1246" s="20"/>
      <c r="C1246" s="257"/>
      <c r="D1246" s="20"/>
      <c r="E1246" s="20"/>
      <c r="F1246" s="58"/>
    </row>
    <row r="1247" spans="1:7" x14ac:dyDescent="0.35">
      <c r="A1247" s="224"/>
      <c r="B1247" s="20"/>
      <c r="C1247" s="257"/>
      <c r="D1247" s="20"/>
      <c r="E1247" s="20"/>
      <c r="F1247" s="58"/>
    </row>
    <row r="1248" spans="1:7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7"/>
  <sheetViews>
    <sheetView zoomScale="85" zoomScaleNormal="85" workbookViewId="0">
      <pane ySplit="4" topLeftCell="A1223" activePane="bottomLeft" state="frozen"/>
      <selection pane="bottomLeft" activeCell="E1235" sqref="E1235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8" t="s">
        <v>749</v>
      </c>
      <c r="B1" s="398"/>
      <c r="C1" s="398"/>
      <c r="D1" s="398"/>
      <c r="E1" s="398"/>
      <c r="F1" s="398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2745.1787797680322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204" si="32">+IF(F1184=0,"",C1184/F1184)</f>
        <v>3166.7001463540619</v>
      </c>
      <c r="C1184" s="257">
        <v>22070</v>
      </c>
      <c r="D1184" s="20">
        <f t="shared" ref="D1184:D1200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>
        <f t="shared" si="32"/>
        <v>3201.2040695234373</v>
      </c>
      <c r="C1188" s="257">
        <v>22120</v>
      </c>
      <c r="D1188" s="20">
        <f t="shared" si="33"/>
        <v>2736.0718542935365</v>
      </c>
      <c r="E1188" s="257">
        <v>2550</v>
      </c>
      <c r="F1188" s="170">
        <f>USD_CNY!B977</f>
        <v>6.9099000000000004</v>
      </c>
      <c r="G1188" s="184">
        <f t="shared" si="34"/>
        <v>100</v>
      </c>
    </row>
    <row r="1189" spans="1:7" x14ac:dyDescent="0.35">
      <c r="A1189" s="344">
        <v>43411</v>
      </c>
      <c r="B1189" s="20">
        <f t="shared" si="32"/>
        <v>3168.695084260125</v>
      </c>
      <c r="C1189" s="257">
        <f>C1190+40</f>
        <v>21930</v>
      </c>
      <c r="D1189" s="20">
        <f t="shared" si="33"/>
        <v>2708.2863968035258</v>
      </c>
      <c r="E1189" s="257">
        <v>2522</v>
      </c>
      <c r="F1189" s="170">
        <f>USD_CNY!B978</f>
        <v>6.9208299999999996</v>
      </c>
      <c r="G1189" s="184">
        <f t="shared" si="34"/>
        <v>-190</v>
      </c>
    </row>
    <row r="1190" spans="1:7" x14ac:dyDescent="0.35">
      <c r="A1190" s="344">
        <v>43412</v>
      </c>
      <c r="B1190" s="20">
        <f t="shared" si="32"/>
        <v>3164.5432374332649</v>
      </c>
      <c r="C1190" s="257">
        <v>21890</v>
      </c>
      <c r="D1190" s="20">
        <f t="shared" si="33"/>
        <v>2704.7378097720216</v>
      </c>
      <c r="E1190" s="257">
        <v>2522</v>
      </c>
      <c r="F1190" s="170">
        <f>USD_CNY!B979</f>
        <v>6.9172700000000003</v>
      </c>
      <c r="G1190" s="184">
        <f t="shared" si="34"/>
        <v>-40</v>
      </c>
    </row>
    <row r="1191" spans="1:7" x14ac:dyDescent="0.35">
      <c r="A1191" s="344">
        <v>43413</v>
      </c>
      <c r="B1191" s="20">
        <f t="shared" si="32"/>
        <v>3150.9686817607999</v>
      </c>
      <c r="C1191" s="257">
        <v>21890</v>
      </c>
      <c r="D1191" s="20">
        <f t="shared" si="33"/>
        <v>2693.1356254365814</v>
      </c>
      <c r="E1191" s="257">
        <v>2522</v>
      </c>
      <c r="F1191" s="170">
        <f>USD_CNY!B980</f>
        <v>6.9470700000000001</v>
      </c>
      <c r="G1191" s="184">
        <f t="shared" si="34"/>
        <v>0</v>
      </c>
    </row>
    <row r="1192" spans="1:7" x14ac:dyDescent="0.35">
      <c r="A1192" s="225">
        <v>43416</v>
      </c>
      <c r="B1192" s="20">
        <f t="shared" si="32"/>
        <v>3146.650314449113</v>
      </c>
      <c r="C1192" s="257">
        <f>C1193+50</f>
        <v>21860</v>
      </c>
      <c r="D1192" s="20">
        <f t="shared" si="33"/>
        <v>2689.4447132043701</v>
      </c>
      <c r="E1192" s="257">
        <v>2522</v>
      </c>
      <c r="F1192" s="170">
        <f>USD_CNY!B981</f>
        <v>6.9470700000000001</v>
      </c>
      <c r="G1192" s="184">
        <f t="shared" ref="G1192:G1193" si="35">+C1192-C1191</f>
        <v>-30</v>
      </c>
    </row>
    <row r="1193" spans="1:7" x14ac:dyDescent="0.35">
      <c r="A1193" s="225">
        <v>43417</v>
      </c>
      <c r="B1193" s="20">
        <f t="shared" si="32"/>
        <v>3133.2740487043816</v>
      </c>
      <c r="C1193" s="257">
        <v>21810</v>
      </c>
      <c r="D1193" s="20">
        <f t="shared" si="33"/>
        <v>2678.0120074396427</v>
      </c>
      <c r="E1193" s="257">
        <v>2548</v>
      </c>
      <c r="F1193" s="170">
        <f>USD_CNY!B982</f>
        <v>6.9607700000000001</v>
      </c>
      <c r="G1193" s="184">
        <f t="shared" si="35"/>
        <v>-50</v>
      </c>
    </row>
    <row r="1194" spans="1:7" x14ac:dyDescent="0.35">
      <c r="A1194" s="225">
        <v>43418</v>
      </c>
      <c r="B1194" s="20">
        <f t="shared" si="32"/>
        <v>3132.9277036618973</v>
      </c>
      <c r="C1194" s="257">
        <v>21760</v>
      </c>
      <c r="D1194" s="20">
        <f t="shared" si="33"/>
        <v>2677.7159860358097</v>
      </c>
      <c r="E1194" s="257">
        <v>2587</v>
      </c>
      <c r="F1194" s="170">
        <f>USD_CNY!B983</f>
        <v>6.9455799999999996</v>
      </c>
      <c r="G1194" s="184">
        <f t="shared" ref="G1194:G1197" si="36">+C1194-C1193</f>
        <v>-50</v>
      </c>
    </row>
    <row r="1195" spans="1:7" x14ac:dyDescent="0.35">
      <c r="A1195" s="225">
        <v>43419</v>
      </c>
      <c r="B1195" s="20">
        <f t="shared" si="32"/>
        <v>3124.2392859046249</v>
      </c>
      <c r="C1195" s="257">
        <v>21690</v>
      </c>
      <c r="D1195" s="20">
        <f t="shared" si="33"/>
        <v>2670.2899879526713</v>
      </c>
      <c r="E1195" s="257">
        <v>2542</v>
      </c>
      <c r="F1195" s="170">
        <f>USD_CNY!B984</f>
        <v>6.9424900000000003</v>
      </c>
      <c r="G1195" s="184">
        <f t="shared" si="36"/>
        <v>-70</v>
      </c>
    </row>
    <row r="1196" spans="1:7" x14ac:dyDescent="0.35">
      <c r="A1196" s="225">
        <v>43423</v>
      </c>
      <c r="B1196" s="20">
        <f t="shared" si="32"/>
        <v>3187.0655726094478</v>
      </c>
      <c r="C1196" s="257">
        <f>C1197+80</f>
        <v>22050</v>
      </c>
      <c r="D1196" s="20">
        <f t="shared" si="33"/>
        <v>2723.9876688969639</v>
      </c>
      <c r="E1196" s="257"/>
      <c r="F1196" s="170">
        <f>USD_CNY!B986</f>
        <v>6.91859</v>
      </c>
      <c r="G1196" s="184">
        <f t="shared" si="36"/>
        <v>360</v>
      </c>
    </row>
    <row r="1197" spans="1:7" x14ac:dyDescent="0.35">
      <c r="A1197" s="225">
        <v>43424</v>
      </c>
      <c r="B1197" s="20">
        <f t="shared" si="32"/>
        <v>3169.2360511059146</v>
      </c>
      <c r="C1197" s="257">
        <v>21970</v>
      </c>
      <c r="D1197" s="20">
        <f t="shared" si="33"/>
        <v>2708.7487616289868</v>
      </c>
      <c r="E1197" s="257">
        <v>2691</v>
      </c>
      <c r="F1197" s="170">
        <f>USD_CNY!B987</f>
        <v>6.9322699999999999</v>
      </c>
      <c r="G1197" s="184">
        <f t="shared" si="36"/>
        <v>-80</v>
      </c>
    </row>
    <row r="1198" spans="1:7" x14ac:dyDescent="0.35">
      <c r="A1198" s="225">
        <v>43425</v>
      </c>
      <c r="B1198" s="20">
        <f t="shared" si="32"/>
        <v>3126.4400921658985</v>
      </c>
      <c r="C1198" s="257">
        <v>21710</v>
      </c>
      <c r="D1198" s="20">
        <f t="shared" si="33"/>
        <v>2672.1710189452124</v>
      </c>
      <c r="E1198" s="257">
        <v>2698</v>
      </c>
      <c r="F1198" s="170">
        <f>USD_CNY!B988</f>
        <v>6.944</v>
      </c>
      <c r="G1198" s="184">
        <f t="shared" ref="G1198:G1201" si="37">+C1198-C1197</f>
        <v>-260</v>
      </c>
    </row>
    <row r="1199" spans="1:7" x14ac:dyDescent="0.35">
      <c r="A1199" s="225">
        <v>43426</v>
      </c>
      <c r="B1199" s="20">
        <f t="shared" si="32"/>
        <v>3132.1242101065905</v>
      </c>
      <c r="C1199" s="257">
        <v>21680</v>
      </c>
      <c r="D1199" s="20">
        <f t="shared" si="33"/>
        <v>2677.0292394073426</v>
      </c>
      <c r="E1199" s="257">
        <v>2670</v>
      </c>
      <c r="F1199" s="170">
        <f>USD_CNY!B989</f>
        <v>6.9218200000000003</v>
      </c>
      <c r="G1199" s="184">
        <f t="shared" si="37"/>
        <v>-30</v>
      </c>
    </row>
    <row r="1200" spans="1:7" x14ac:dyDescent="0.35">
      <c r="A1200" s="225">
        <v>43427</v>
      </c>
      <c r="B1200" s="20">
        <f t="shared" si="32"/>
        <v>3132.1242101065905</v>
      </c>
      <c r="C1200" s="257">
        <v>21680</v>
      </c>
      <c r="D1200" s="20">
        <f t="shared" si="33"/>
        <v>2677.0292394073426</v>
      </c>
      <c r="E1200" s="257">
        <v>2670</v>
      </c>
      <c r="F1200" s="170">
        <f>USD_CNY!B990</f>
        <v>6.9218200000000003</v>
      </c>
      <c r="G1200" s="184">
        <f t="shared" si="37"/>
        <v>0</v>
      </c>
    </row>
    <row r="1201" spans="1:7" x14ac:dyDescent="0.35">
      <c r="A1201" s="225">
        <v>43430</v>
      </c>
      <c r="B1201" s="20">
        <f t="shared" si="32"/>
        <v>3073.1549184165974</v>
      </c>
      <c r="C1201" s="257">
        <v>21330</v>
      </c>
      <c r="D1201" s="20">
        <f t="shared" ref="D1201:D1234" si="38">+B1201/1.17</f>
        <v>2626.6281353988015</v>
      </c>
      <c r="E1201" s="257">
        <v>2630</v>
      </c>
      <c r="F1201" s="170">
        <f>USD_CNY!B991</f>
        <v>6.9407500000000004</v>
      </c>
      <c r="G1201" s="184">
        <f t="shared" si="37"/>
        <v>-350</v>
      </c>
    </row>
    <row r="1202" spans="1:7" x14ac:dyDescent="0.35">
      <c r="A1202" s="225">
        <v>43431</v>
      </c>
      <c r="B1202" s="20">
        <f t="shared" si="32"/>
        <v>3002.8949806905362</v>
      </c>
      <c r="C1202" s="257">
        <v>20870</v>
      </c>
      <c r="D1202" s="20">
        <f t="shared" si="38"/>
        <v>2566.5769065731079</v>
      </c>
      <c r="E1202" s="257">
        <v>2560</v>
      </c>
      <c r="F1202" s="170">
        <f>USD_CNY!B992</f>
        <v>6.9499599999999999</v>
      </c>
      <c r="G1202" s="184">
        <f t="shared" ref="G1202:G1204" si="39">+C1202-C1201</f>
        <v>-460</v>
      </c>
    </row>
    <row r="1203" spans="1:7" x14ac:dyDescent="0.35">
      <c r="A1203" s="225">
        <v>43432</v>
      </c>
      <c r="B1203" s="20">
        <f t="shared" si="32"/>
        <v>2981.0804978059132</v>
      </c>
      <c r="C1203" s="257">
        <v>20720</v>
      </c>
      <c r="D1203" s="20">
        <f t="shared" si="38"/>
        <v>2547.9320494067638</v>
      </c>
      <c r="E1203" s="257">
        <v>2506</v>
      </c>
      <c r="F1203" s="170">
        <f>USD_CNY!B993</f>
        <v>6.9504999999999999</v>
      </c>
      <c r="G1203" s="184">
        <f t="shared" si="39"/>
        <v>-150</v>
      </c>
    </row>
    <row r="1204" spans="1:7" x14ac:dyDescent="0.35">
      <c r="A1204" s="225">
        <v>43433</v>
      </c>
      <c r="B1204" s="20">
        <f t="shared" si="32"/>
        <v>2996.5019191160682</v>
      </c>
      <c r="C1204" s="257">
        <v>20790</v>
      </c>
      <c r="D1204" s="20">
        <f t="shared" si="38"/>
        <v>2561.1127513812548</v>
      </c>
      <c r="E1204" s="257">
        <v>2515</v>
      </c>
      <c r="F1204" s="170">
        <f>USD_CNY!B994</f>
        <v>6.9380899999999999</v>
      </c>
      <c r="G1204" s="184">
        <f t="shared" si="39"/>
        <v>70</v>
      </c>
    </row>
    <row r="1205" spans="1:7" x14ac:dyDescent="0.35">
      <c r="A1205" s="225">
        <v>43434</v>
      </c>
      <c r="B1205" s="20">
        <f t="shared" ref="B1205:B1234" si="40">+IF(F1205=0,"",C1205/F1205)</f>
        <v>3021.0173402069286</v>
      </c>
      <c r="C1205" s="257">
        <v>20950</v>
      </c>
      <c r="D1205" s="20">
        <f t="shared" si="38"/>
        <v>2582.0661027409647</v>
      </c>
      <c r="E1205" s="257">
        <v>2553</v>
      </c>
      <c r="F1205" s="170">
        <f>USD_CNY!B995</f>
        <v>6.9347500000000002</v>
      </c>
      <c r="G1205" s="184">
        <f t="shared" ref="G1205:G1212" si="41">+C1205-C1204</f>
        <v>160</v>
      </c>
    </row>
    <row r="1206" spans="1:7" x14ac:dyDescent="0.35">
      <c r="A1206" s="225">
        <v>43437</v>
      </c>
      <c r="B1206" s="20">
        <f t="shared" si="40"/>
        <v>3174.5159802763683</v>
      </c>
      <c r="C1206" s="257">
        <v>21960</v>
      </c>
      <c r="D1206" s="20">
        <f t="shared" si="38"/>
        <v>2713.2615216037339</v>
      </c>
      <c r="E1206" s="257">
        <v>2628.5</v>
      </c>
      <c r="F1206" s="170">
        <f>USD_CNY!B996</f>
        <v>6.9175899999999997</v>
      </c>
      <c r="G1206" s="184">
        <f t="shared" si="41"/>
        <v>1010</v>
      </c>
    </row>
    <row r="1207" spans="1:7" x14ac:dyDescent="0.35">
      <c r="A1207" s="225">
        <v>43438</v>
      </c>
      <c r="B1207" s="20">
        <f t="shared" si="40"/>
        <v>3156.1164489106377</v>
      </c>
      <c r="C1207" s="257">
        <v>21690</v>
      </c>
      <c r="D1207" s="20">
        <f t="shared" si="38"/>
        <v>2697.5354264193488</v>
      </c>
      <c r="E1207" s="257">
        <v>2675</v>
      </c>
      <c r="F1207" s="170">
        <f>USD_CNY!B997</f>
        <v>6.8723700000000001</v>
      </c>
      <c r="G1207" s="184">
        <f t="shared" si="41"/>
        <v>-270</v>
      </c>
    </row>
    <row r="1208" spans="1:7" x14ac:dyDescent="0.35">
      <c r="A1208" s="225">
        <v>43439</v>
      </c>
      <c r="B1208" s="20">
        <f t="shared" si="40"/>
        <v>3152.694685102897</v>
      </c>
      <c r="C1208" s="257">
        <v>21590</v>
      </c>
      <c r="D1208" s="20">
        <f t="shared" si="38"/>
        <v>2694.6108419682882</v>
      </c>
      <c r="E1208" s="257">
        <v>2740</v>
      </c>
      <c r="F1208" s="170">
        <f>USD_CNY!B998</f>
        <v>6.8481100000000001</v>
      </c>
      <c r="G1208" s="184">
        <f t="shared" si="41"/>
        <v>-100</v>
      </c>
    </row>
    <row r="1209" spans="1:7" x14ac:dyDescent="0.35">
      <c r="A1209" s="225">
        <v>43440</v>
      </c>
      <c r="B1209" s="20">
        <f t="shared" si="40"/>
        <v>3167.7045809208512</v>
      </c>
      <c r="C1209" s="257">
        <v>21720</v>
      </c>
      <c r="D1209" s="20">
        <f t="shared" si="38"/>
        <v>2707.4398127528643</v>
      </c>
      <c r="E1209" s="257">
        <v>2705.5</v>
      </c>
      <c r="F1209" s="170">
        <f>USD_CNY!B999</f>
        <v>6.8567</v>
      </c>
      <c r="G1209" s="184">
        <f t="shared" si="41"/>
        <v>130</v>
      </c>
    </row>
    <row r="1210" spans="1:7" x14ac:dyDescent="0.35">
      <c r="A1210" s="225">
        <v>43445</v>
      </c>
      <c r="B1210" s="20">
        <f t="shared" si="40"/>
        <v>3122.7073496491657</v>
      </c>
      <c r="C1210" s="257">
        <v>21580</v>
      </c>
      <c r="D1210" s="20">
        <f t="shared" si="38"/>
        <v>2668.9806407257829</v>
      </c>
      <c r="E1210" s="257">
        <v>2678</v>
      </c>
      <c r="F1210" s="170">
        <f>USD_CNY!B1000</f>
        <v>6.9106699999999996</v>
      </c>
      <c r="G1210" s="184">
        <v>-10</v>
      </c>
    </row>
    <row r="1211" spans="1:7" x14ac:dyDescent="0.35">
      <c r="A1211" s="225">
        <v>43446</v>
      </c>
      <c r="B1211" s="20">
        <f t="shared" si="40"/>
        <v>3124.769119110636</v>
      </c>
      <c r="C1211" s="257">
        <f>C1212+70</f>
        <v>21570</v>
      </c>
      <c r="D1211" s="20">
        <f t="shared" si="38"/>
        <v>2670.7428368466976</v>
      </c>
      <c r="E1211" s="257">
        <v>2678</v>
      </c>
      <c r="F1211" s="170">
        <f>USD_CNY!B1001</f>
        <v>6.9029100000000003</v>
      </c>
      <c r="G1211" s="184">
        <f t="shared" si="41"/>
        <v>-10</v>
      </c>
    </row>
    <row r="1212" spans="1:7" x14ac:dyDescent="0.35">
      <c r="A1212" s="225">
        <v>43447</v>
      </c>
      <c r="B1212" s="20">
        <f t="shared" si="40"/>
        <v>3130.6925820059437</v>
      </c>
      <c r="C1212" s="257">
        <v>21500</v>
      </c>
      <c r="D1212" s="20">
        <f t="shared" si="38"/>
        <v>2675.8056256461059</v>
      </c>
      <c r="E1212" s="257">
        <v>2664</v>
      </c>
      <c r="F1212" s="170">
        <f>USD_CNY!B1002</f>
        <v>6.8674900000000001</v>
      </c>
      <c r="G1212" s="184">
        <f t="shared" si="41"/>
        <v>-70</v>
      </c>
    </row>
    <row r="1213" spans="1:7" x14ac:dyDescent="0.35">
      <c r="A1213" s="225">
        <v>43448</v>
      </c>
      <c r="B1213" s="20">
        <f t="shared" si="40"/>
        <v>3123.5776306471244</v>
      </c>
      <c r="C1213" s="257">
        <v>21480</v>
      </c>
      <c r="D1213" s="20">
        <f t="shared" si="38"/>
        <v>2669.7244706385682</v>
      </c>
      <c r="E1213" s="257">
        <v>2685</v>
      </c>
      <c r="F1213" s="170">
        <f>USD_CNY!B1003</f>
        <v>6.8767300000000002</v>
      </c>
      <c r="G1213" s="184">
        <f t="shared" ref="G1213:G1216" si="42">+C1213-C1212</f>
        <v>-20</v>
      </c>
    </row>
    <row r="1214" spans="1:7" x14ac:dyDescent="0.35">
      <c r="A1214" s="225">
        <v>43451</v>
      </c>
      <c r="B1214" s="20">
        <f t="shared" si="40"/>
        <v>3149.6451032657455</v>
      </c>
      <c r="C1214" s="257">
        <v>21730</v>
      </c>
      <c r="D1214" s="20">
        <f t="shared" si="38"/>
        <v>2692.0043617655947</v>
      </c>
      <c r="E1214" s="257">
        <v>2560</v>
      </c>
      <c r="F1214" s="170">
        <f>USD_CNY!B1004</f>
        <v>6.8991899999999999</v>
      </c>
      <c r="G1214" s="184">
        <f t="shared" si="42"/>
        <v>250</v>
      </c>
    </row>
    <row r="1215" spans="1:7" x14ac:dyDescent="0.35">
      <c r="A1215" s="225">
        <v>43452</v>
      </c>
      <c r="B1215" s="20">
        <f t="shared" si="40"/>
        <v>3172.5511282194725</v>
      </c>
      <c r="C1215" s="257">
        <f>C1216+160</f>
        <v>21890</v>
      </c>
      <c r="D1215" s="20">
        <f t="shared" si="38"/>
        <v>2711.5821608713441</v>
      </c>
      <c r="E1215" s="257"/>
      <c r="F1215" s="170">
        <f>USD_CNY!B1005</f>
        <v>6.8998100000000004</v>
      </c>
      <c r="G1215" s="184">
        <f t="shared" si="42"/>
        <v>160</v>
      </c>
    </row>
    <row r="1216" spans="1:7" x14ac:dyDescent="0.35">
      <c r="A1216" s="225">
        <v>43453</v>
      </c>
      <c r="B1216" s="20">
        <f t="shared" si="40"/>
        <v>3156.4941271487546</v>
      </c>
      <c r="C1216" s="257">
        <v>21730</v>
      </c>
      <c r="D1216" s="20">
        <f t="shared" si="38"/>
        <v>2697.8582283322689</v>
      </c>
      <c r="E1216" s="257">
        <v>2600</v>
      </c>
      <c r="F1216" s="170">
        <f>USD_CNY!B1006</f>
        <v>6.88422</v>
      </c>
      <c r="G1216" s="184">
        <f t="shared" si="42"/>
        <v>-160</v>
      </c>
    </row>
    <row r="1217" spans="1:7" x14ac:dyDescent="0.35">
      <c r="A1217" s="225">
        <v>43454</v>
      </c>
      <c r="B1217" s="20">
        <f t="shared" si="40"/>
        <v>3177.8034628498262</v>
      </c>
      <c r="C1217" s="257">
        <v>21940</v>
      </c>
      <c r="D1217" s="20">
        <f t="shared" si="38"/>
        <v>2716.0713357690825</v>
      </c>
      <c r="E1217" s="257">
        <v>2596</v>
      </c>
      <c r="F1217" s="170">
        <f>USD_CNY!B1007</f>
        <v>6.9041399999999999</v>
      </c>
      <c r="G1217" s="184">
        <f t="shared" ref="G1217:G1218" si="43">+C1217-C1216</f>
        <v>210</v>
      </c>
    </row>
    <row r="1218" spans="1:7" x14ac:dyDescent="0.35">
      <c r="A1218" s="225">
        <v>43459</v>
      </c>
      <c r="B1218" s="20">
        <f t="shared" si="40"/>
        <v>3148.5917669403671</v>
      </c>
      <c r="C1218" s="257">
        <f>C1219-200</f>
        <v>21700</v>
      </c>
      <c r="D1218" s="20">
        <f t="shared" si="38"/>
        <v>2691.1040743080061</v>
      </c>
      <c r="E1218" s="257"/>
      <c r="F1218" s="170">
        <f>USD_CNY!B1008</f>
        <v>6.8919699999999997</v>
      </c>
      <c r="G1218" s="184">
        <f t="shared" si="43"/>
        <v>-240</v>
      </c>
    </row>
    <row r="1219" spans="1:7" x14ac:dyDescent="0.35">
      <c r="A1219" s="225">
        <v>43460</v>
      </c>
      <c r="B1219" s="20">
        <f t="shared" si="40"/>
        <v>3165.1972828443418</v>
      </c>
      <c r="C1219" s="257">
        <v>21900</v>
      </c>
      <c r="D1219" s="20">
        <f t="shared" si="38"/>
        <v>2705.296822943882</v>
      </c>
      <c r="E1219" s="257">
        <v>2536</v>
      </c>
      <c r="F1219" s="170">
        <f>USD_CNY!B1009</f>
        <v>6.9189999999999996</v>
      </c>
      <c r="G1219" s="184">
        <f t="shared" ref="G1219" si="44">+C1219-C1218</f>
        <v>200</v>
      </c>
    </row>
    <row r="1220" spans="1:7" x14ac:dyDescent="0.35">
      <c r="A1220" s="225">
        <v>43461</v>
      </c>
      <c r="B1220" s="20">
        <f t="shared" si="40"/>
        <v>3207.2771813112977</v>
      </c>
      <c r="C1220" s="258">
        <f>C1221+120</f>
        <v>22100</v>
      </c>
      <c r="D1220" s="20">
        <f t="shared" si="38"/>
        <v>2741.2625481293144</v>
      </c>
      <c r="F1220" s="170">
        <f>USD_CNY!B1010</f>
        <v>6.8905799999999999</v>
      </c>
      <c r="G1220" s="184">
        <f t="shared" ref="G1220:G1221" si="45">+C1220-C1219</f>
        <v>200</v>
      </c>
    </row>
    <row r="1221" spans="1:7" x14ac:dyDescent="0.35">
      <c r="A1221" s="225">
        <v>43462</v>
      </c>
      <c r="B1221" s="20">
        <f t="shared" si="40"/>
        <v>3198.724003091033</v>
      </c>
      <c r="C1221" s="258">
        <v>21980</v>
      </c>
      <c r="D1221" s="20">
        <f t="shared" si="38"/>
        <v>2733.9521393940454</v>
      </c>
      <c r="E1221" s="258">
        <v>2553</v>
      </c>
      <c r="F1221" s="170">
        <f>USD_CNY!B1011</f>
        <v>6.8714899999999997</v>
      </c>
      <c r="G1221" s="184">
        <f t="shared" si="45"/>
        <v>-120</v>
      </c>
    </row>
    <row r="1222" spans="1:7" x14ac:dyDescent="0.35">
      <c r="A1222" s="225">
        <v>43467</v>
      </c>
      <c r="B1222" s="20">
        <f t="shared" si="40"/>
        <v>3169.3575390528322</v>
      </c>
      <c r="C1222" s="258">
        <v>21770</v>
      </c>
      <c r="D1222" s="20">
        <f t="shared" si="38"/>
        <v>2708.8525974810532</v>
      </c>
      <c r="E1222" s="258">
        <v>2510.5</v>
      </c>
      <c r="F1222" s="170">
        <f>USD_CNY!B1012</f>
        <v>6.8689</v>
      </c>
      <c r="G1222" s="184">
        <f t="shared" ref="G1222:G1226" si="46">+C1222-C1221</f>
        <v>-210</v>
      </c>
    </row>
    <row r="1223" spans="1:7" x14ac:dyDescent="0.35">
      <c r="A1223" s="225">
        <v>43468</v>
      </c>
      <c r="B1223" s="20">
        <f t="shared" si="40"/>
        <v>3119.6505991328972</v>
      </c>
      <c r="C1223" s="258">
        <v>21450</v>
      </c>
      <c r="D1223" s="20">
        <f t="shared" si="38"/>
        <v>2666.3680334469209</v>
      </c>
      <c r="E1223" s="258">
        <v>2462</v>
      </c>
      <c r="F1223" s="170">
        <f>USD_CNY!B1013</f>
        <v>6.8757700000000002</v>
      </c>
      <c r="G1223" s="184">
        <f t="shared" si="46"/>
        <v>-320</v>
      </c>
    </row>
    <row r="1224" spans="1:7" x14ac:dyDescent="0.35">
      <c r="A1224" s="225">
        <v>43469</v>
      </c>
      <c r="B1224" s="20">
        <f t="shared" si="40"/>
        <v>3107.6675188394161</v>
      </c>
      <c r="C1224" s="258">
        <v>21370</v>
      </c>
      <c r="D1224" s="20">
        <f t="shared" si="38"/>
        <v>2656.1260844781336</v>
      </c>
      <c r="E1224" s="258">
        <v>2480</v>
      </c>
      <c r="F1224" s="170">
        <f>USD_CNY!B1014</f>
        <v>6.8765400000000003</v>
      </c>
      <c r="G1224" s="184">
        <f t="shared" si="46"/>
        <v>-80</v>
      </c>
    </row>
    <row r="1225" spans="1:7" x14ac:dyDescent="0.35">
      <c r="A1225" s="225">
        <v>43472</v>
      </c>
      <c r="B1225" s="20">
        <f t="shared" si="40"/>
        <v>3133.6864740126921</v>
      </c>
      <c r="C1225" s="258">
        <f>C1226-110</f>
        <v>21510</v>
      </c>
      <c r="D1225" s="20">
        <f t="shared" si="38"/>
        <v>2678.3645077031556</v>
      </c>
      <c r="F1225" s="170">
        <f>USD_CNY!B1015</f>
        <v>6.8641199999999998</v>
      </c>
      <c r="G1225" s="184">
        <f t="shared" si="46"/>
        <v>140</v>
      </c>
    </row>
    <row r="1226" spans="1:7" x14ac:dyDescent="0.35">
      <c r="A1226" s="225">
        <v>43473</v>
      </c>
      <c r="B1226" s="20">
        <f t="shared" si="40"/>
        <v>3158.5836922411627</v>
      </c>
      <c r="C1226" s="258">
        <v>21620</v>
      </c>
      <c r="D1226" s="20">
        <f t="shared" si="38"/>
        <v>2699.6441814027035</v>
      </c>
      <c r="E1226" s="258">
        <v>2535</v>
      </c>
      <c r="F1226" s="170">
        <f>USD_CNY!B1016</f>
        <v>6.8448399999999996</v>
      </c>
      <c r="G1226" s="184">
        <f t="shared" si="46"/>
        <v>110</v>
      </c>
    </row>
    <row r="1227" spans="1:7" x14ac:dyDescent="0.35">
      <c r="A1227" s="225">
        <v>43474</v>
      </c>
      <c r="B1227" s="3">
        <f t="shared" si="40"/>
        <v>3182.6453167250129</v>
      </c>
      <c r="C1227" s="258">
        <v>21810</v>
      </c>
      <c r="D1227" s="3">
        <f t="shared" si="38"/>
        <v>2720.2096724145413</v>
      </c>
      <c r="E1227" s="258">
        <v>2541</v>
      </c>
      <c r="F1227" s="170">
        <f>USD_CNY!B1017</f>
        <v>6.8527899999999997</v>
      </c>
      <c r="G1227" s="184">
        <f t="shared" ref="G1227:G1233" si="47">+C1227-C1226</f>
        <v>190</v>
      </c>
    </row>
    <row r="1228" spans="1:7" x14ac:dyDescent="0.35">
      <c r="A1228" s="225">
        <v>43475</v>
      </c>
      <c r="B1228" s="3">
        <f t="shared" si="40"/>
        <v>3183.0815106716923</v>
      </c>
      <c r="C1228" s="258">
        <v>21680</v>
      </c>
      <c r="D1228" s="3">
        <f t="shared" si="38"/>
        <v>2720.5824877535833</v>
      </c>
      <c r="E1228" s="258">
        <v>2532</v>
      </c>
      <c r="F1228" s="170">
        <f>USD_CNY!B1018</f>
        <v>6.8110099999999996</v>
      </c>
      <c r="G1228" s="184">
        <f t="shared" si="47"/>
        <v>-130</v>
      </c>
    </row>
    <row r="1229" spans="1:7" x14ac:dyDescent="0.35">
      <c r="A1229" s="225">
        <v>43480</v>
      </c>
      <c r="B1229" s="3">
        <f t="shared" si="40"/>
        <v>3191.2580912789431</v>
      </c>
      <c r="C1229" s="258">
        <f>C1230+40</f>
        <v>21579</v>
      </c>
      <c r="D1229" s="3">
        <f t="shared" si="38"/>
        <v>2727.5710181871309</v>
      </c>
      <c r="F1229" s="170">
        <f>USD_CNY!B1019</f>
        <v>6.7619100000000003</v>
      </c>
      <c r="G1229" s="184">
        <f t="shared" si="47"/>
        <v>-101</v>
      </c>
    </row>
    <row r="1230" spans="1:7" x14ac:dyDescent="0.35">
      <c r="A1230" s="225">
        <v>43481</v>
      </c>
      <c r="B1230" s="3">
        <f t="shared" si="40"/>
        <v>3180.1974058188207</v>
      </c>
      <c r="C1230" s="258">
        <v>21539</v>
      </c>
      <c r="D1230" s="3">
        <f t="shared" si="38"/>
        <v>2718.117440870787</v>
      </c>
      <c r="E1230" s="258">
        <v>2472.5</v>
      </c>
      <c r="F1230" s="170">
        <f>USD_CNY!B1020</f>
        <v>6.77285</v>
      </c>
      <c r="G1230" s="184">
        <f t="shared" si="47"/>
        <v>-40</v>
      </c>
    </row>
    <row r="1231" spans="1:7" x14ac:dyDescent="0.35">
      <c r="A1231" s="225">
        <v>43482</v>
      </c>
      <c r="B1231" s="3">
        <f t="shared" si="40"/>
        <v>3179.22923293143</v>
      </c>
      <c r="C1231" s="258">
        <v>21490</v>
      </c>
      <c r="D1231" s="3">
        <f t="shared" si="38"/>
        <v>2717.2899426764361</v>
      </c>
      <c r="E1231" s="258">
        <v>2490</v>
      </c>
      <c r="F1231" s="170">
        <f>USD_CNY!B1021</f>
        <v>6.7595000000000001</v>
      </c>
      <c r="G1231" s="184">
        <f t="shared" si="47"/>
        <v>-49</v>
      </c>
    </row>
    <row r="1232" spans="1:7" x14ac:dyDescent="0.35">
      <c r="A1232" s="225">
        <v>43483</v>
      </c>
      <c r="B1232" s="3">
        <f t="shared" si="40"/>
        <v>3203.0985919650939</v>
      </c>
      <c r="C1232" s="258">
        <v>21700</v>
      </c>
      <c r="D1232" s="3">
        <f t="shared" si="38"/>
        <v>2737.69110424367</v>
      </c>
      <c r="E1232" s="258">
        <v>2502</v>
      </c>
      <c r="F1232" s="170">
        <f>USD_CNY!B1022</f>
        <v>6.7746899999999997</v>
      </c>
      <c r="G1232" s="184">
        <f t="shared" si="47"/>
        <v>210</v>
      </c>
    </row>
    <row r="1233" spans="1:7" x14ac:dyDescent="0.35">
      <c r="A1233" s="225">
        <v>43486</v>
      </c>
      <c r="B1233" s="3">
        <f t="shared" si="40"/>
        <v>3227.3668950083879</v>
      </c>
      <c r="C1233" s="258">
        <f>C1234+110</f>
        <v>21950</v>
      </c>
      <c r="D1233" s="3">
        <f t="shared" si="38"/>
        <v>2758.4332435969131</v>
      </c>
      <c r="F1233" s="170">
        <f>USD_CNY!B1023</f>
        <v>6.8012100000000002</v>
      </c>
      <c r="G1233" s="184">
        <f t="shared" si="47"/>
        <v>250</v>
      </c>
    </row>
    <row r="1234" spans="1:7" x14ac:dyDescent="0.35">
      <c r="A1234" s="225">
        <v>43487</v>
      </c>
      <c r="B1234" s="3">
        <f t="shared" si="40"/>
        <v>3211.8591723285977</v>
      </c>
      <c r="C1234" s="258">
        <v>21840</v>
      </c>
      <c r="D1234" s="3">
        <f t="shared" si="38"/>
        <v>2745.1787797680322</v>
      </c>
      <c r="E1234" s="258">
        <v>2569</v>
      </c>
      <c r="F1234" s="170">
        <f>USD_CNY!B1024</f>
        <v>6.7998000000000003</v>
      </c>
      <c r="G1234" s="184">
        <f t="shared" ref="G1234:G1235" si="48">+C1234-C1233</f>
        <v>-110</v>
      </c>
    </row>
    <row r="1235" spans="1:7" x14ac:dyDescent="0.35">
      <c r="A1235" s="225">
        <v>43488</v>
      </c>
      <c r="F1235" s="170">
        <f>USD_CNY!B1025</f>
        <v>0</v>
      </c>
      <c r="G1235" s="184">
        <f t="shared" si="48"/>
        <v>-21840</v>
      </c>
    </row>
    <row r="1236" spans="1:7" x14ac:dyDescent="0.35">
      <c r="A1236" s="225">
        <v>43489</v>
      </c>
      <c r="F1236" s="170">
        <f>USD_CNY!B1026</f>
        <v>0</v>
      </c>
      <c r="G1236" s="184">
        <f t="shared" ref="G1236" si="49">+C1236-C1235</f>
        <v>0</v>
      </c>
    </row>
    <row r="1237" spans="1:7" x14ac:dyDescent="0.35">
      <c r="A1237" s="225">
        <v>43490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5"/>
  <sheetViews>
    <sheetView zoomScale="115" zoomScaleNormal="115" workbookViewId="0">
      <pane ySplit="5" topLeftCell="A772" activePane="bottomLeft" state="frozen"/>
      <selection pane="bottomLeft" activeCell="E782" sqref="E78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8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84" si="28">+IF(F731=0,"",C731/F731)</f>
        <v>14764.542141360806</v>
      </c>
      <c r="C731" s="288">
        <v>102900</v>
      </c>
      <c r="D731" s="110">
        <f t="shared" ref="D731:D784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>
        <f t="shared" si="28"/>
        <v>14761.429253679502</v>
      </c>
      <c r="C735" s="288">
        <v>102000</v>
      </c>
      <c r="D735" s="110">
        <f t="shared" si="29"/>
        <v>12616.606199726071</v>
      </c>
      <c r="E735" s="288">
        <v>11680</v>
      </c>
      <c r="F735" s="177">
        <f>USD_CNY!B977</f>
        <v>6.9099000000000004</v>
      </c>
      <c r="G735" s="106">
        <f t="shared" si="16"/>
        <v>-100</v>
      </c>
    </row>
    <row r="736" spans="1:7" x14ac:dyDescent="0.3">
      <c r="A736" s="350">
        <v>43411</v>
      </c>
      <c r="B736" s="110">
        <f t="shared" si="28"/>
        <v>14763.402655461845</v>
      </c>
      <c r="C736" s="288">
        <f>C737+1125</f>
        <v>102175</v>
      </c>
      <c r="D736" s="110">
        <f t="shared" si="29"/>
        <v>12618.292867916107</v>
      </c>
      <c r="E736" s="288">
        <v>11670</v>
      </c>
      <c r="F736" s="177">
        <f>USD_CNY!B978</f>
        <v>6.9208299999999996</v>
      </c>
      <c r="G736" s="106">
        <f t="shared" si="16"/>
        <v>175</v>
      </c>
    </row>
    <row r="737" spans="1:7" x14ac:dyDescent="0.3">
      <c r="A737" s="350">
        <v>43412</v>
      </c>
      <c r="B737" s="110">
        <f t="shared" si="28"/>
        <v>14608.364282440905</v>
      </c>
      <c r="C737" s="288">
        <v>101050</v>
      </c>
      <c r="D737" s="110">
        <f t="shared" si="29"/>
        <v>12485.78143798368</v>
      </c>
      <c r="E737" s="288">
        <v>11670</v>
      </c>
      <c r="F737" s="177">
        <f>USD_CNY!B979</f>
        <v>6.9172700000000003</v>
      </c>
      <c r="G737" s="106">
        <f t="shared" si="16"/>
        <v>-1125</v>
      </c>
    </row>
    <row r="738" spans="1:7" x14ac:dyDescent="0.3">
      <c r="A738" s="350">
        <v>43413</v>
      </c>
      <c r="B738" s="110">
        <f t="shared" si="28"/>
        <v>14545.700561531696</v>
      </c>
      <c r="C738" s="288">
        <v>101050</v>
      </c>
      <c r="D738" s="110">
        <f t="shared" si="29"/>
        <v>12432.222702163843</v>
      </c>
      <c r="E738" s="288">
        <v>11670</v>
      </c>
      <c r="F738" s="177">
        <f>USD_CNY!B980</f>
        <v>6.9470700000000001</v>
      </c>
      <c r="G738" s="106">
        <f t="shared" si="16"/>
        <v>0</v>
      </c>
    </row>
    <row r="739" spans="1:7" x14ac:dyDescent="0.3">
      <c r="A739" s="350">
        <v>43416</v>
      </c>
      <c r="B739" s="110">
        <f t="shared" si="28"/>
        <v>14473.727773003582</v>
      </c>
      <c r="C739" s="288">
        <f>C740+175</f>
        <v>100550</v>
      </c>
      <c r="D739" s="110">
        <f t="shared" si="29"/>
        <v>12370.707498293661</v>
      </c>
      <c r="E739" s="288">
        <v>11670</v>
      </c>
      <c r="F739" s="177">
        <f>USD_CNY!B981</f>
        <v>6.9470700000000001</v>
      </c>
      <c r="G739" s="106">
        <f t="shared" si="16"/>
        <v>-500</v>
      </c>
    </row>
    <row r="740" spans="1:7" x14ac:dyDescent="0.3">
      <c r="A740" s="350">
        <v>43417</v>
      </c>
      <c r="B740" s="110">
        <f t="shared" si="28"/>
        <v>14420.100075135366</v>
      </c>
      <c r="C740" s="288">
        <v>100375</v>
      </c>
      <c r="D740" s="110">
        <f t="shared" si="29"/>
        <v>12324.871859090057</v>
      </c>
      <c r="E740" s="288">
        <v>11290</v>
      </c>
      <c r="F740" s="177">
        <f>USD_CNY!B982</f>
        <v>6.9607700000000001</v>
      </c>
      <c r="G740" s="106">
        <f t="shared" si="16"/>
        <v>-175</v>
      </c>
    </row>
    <row r="741" spans="1:7" x14ac:dyDescent="0.3">
      <c r="A741" s="350">
        <v>43418</v>
      </c>
      <c r="B741" s="110">
        <f t="shared" si="28"/>
        <v>14383.248051278655</v>
      </c>
      <c r="C741" s="288">
        <v>99900</v>
      </c>
      <c r="D741" s="110">
        <f t="shared" si="29"/>
        <v>12293.37440280227</v>
      </c>
      <c r="E741" s="288">
        <v>11370</v>
      </c>
      <c r="F741" s="177">
        <f>USD_CNY!B983</f>
        <v>6.9455799999999996</v>
      </c>
      <c r="G741" s="106">
        <f t="shared" si="16"/>
        <v>-475</v>
      </c>
    </row>
    <row r="742" spans="1:7" x14ac:dyDescent="0.3">
      <c r="A742" s="350">
        <v>43419</v>
      </c>
      <c r="B742" s="110">
        <f t="shared" si="28"/>
        <v>14382.447796107735</v>
      </c>
      <c r="C742" s="288">
        <v>99850</v>
      </c>
      <c r="D742" s="110">
        <f t="shared" si="29"/>
        <v>12292.690424023705</v>
      </c>
      <c r="E742" s="288">
        <v>11225</v>
      </c>
      <c r="F742" s="177">
        <f>USD_CNY!B984</f>
        <v>6.9424900000000003</v>
      </c>
      <c r="G742" s="106">
        <f t="shared" si="16"/>
        <v>-50</v>
      </c>
    </row>
    <row r="743" spans="1:7" x14ac:dyDescent="0.3">
      <c r="A743" s="350">
        <v>43423</v>
      </c>
      <c r="B743" s="110">
        <f t="shared" si="28"/>
        <v>14442.97176158726</v>
      </c>
      <c r="C743" s="288">
        <f>C744+825</f>
        <v>99925</v>
      </c>
      <c r="D743" s="110">
        <f t="shared" si="29"/>
        <v>12344.420309048941</v>
      </c>
      <c r="E743" s="288"/>
      <c r="F743" s="177">
        <f>USD_CNY!B986</f>
        <v>6.91859</v>
      </c>
      <c r="G743" s="106">
        <f t="shared" si="16"/>
        <v>75</v>
      </c>
    </row>
    <row r="744" spans="1:7" x14ac:dyDescent="0.3">
      <c r="A744" s="350">
        <v>43424</v>
      </c>
      <c r="B744" s="110">
        <f t="shared" si="28"/>
        <v>14295.461659744933</v>
      </c>
      <c r="C744" s="288">
        <v>99100</v>
      </c>
      <c r="D744" s="110">
        <f t="shared" si="29"/>
        <v>12218.343298927293</v>
      </c>
      <c r="E744" s="288">
        <v>11200</v>
      </c>
      <c r="F744" s="177">
        <f>USD_CNY!B987</f>
        <v>6.9322699999999999</v>
      </c>
      <c r="G744" s="106">
        <f t="shared" si="16"/>
        <v>-825</v>
      </c>
    </row>
    <row r="745" spans="1:7" x14ac:dyDescent="0.3">
      <c r="A745" s="350">
        <v>43425</v>
      </c>
      <c r="B745" s="110">
        <f t="shared" si="28"/>
        <v>14058.899769585254</v>
      </c>
      <c r="C745" s="288">
        <v>97625</v>
      </c>
      <c r="D745" s="110">
        <f t="shared" si="29"/>
        <v>12016.153649218166</v>
      </c>
      <c r="E745" s="288">
        <v>11190</v>
      </c>
      <c r="F745" s="177">
        <f>USD_CNY!B988</f>
        <v>6.944</v>
      </c>
      <c r="G745" s="106">
        <f t="shared" si="16"/>
        <v>-1475</v>
      </c>
    </row>
    <row r="746" spans="1:7" x14ac:dyDescent="0.3">
      <c r="A746" s="350">
        <v>43426</v>
      </c>
      <c r="B746" s="110">
        <f t="shared" si="28"/>
        <v>13955.867098537667</v>
      </c>
      <c r="C746" s="288">
        <v>96600</v>
      </c>
      <c r="D746" s="110">
        <f t="shared" si="29"/>
        <v>11928.091537211681</v>
      </c>
      <c r="E746" s="288">
        <v>11085</v>
      </c>
      <c r="F746" s="177">
        <f>USD_CNY!B989</f>
        <v>6.9218200000000003</v>
      </c>
      <c r="G746" s="106">
        <f t="shared" si="16"/>
        <v>-1025</v>
      </c>
    </row>
    <row r="747" spans="1:7" x14ac:dyDescent="0.3">
      <c r="A747" s="350">
        <v>43427</v>
      </c>
      <c r="B747" s="110">
        <f t="shared" si="28"/>
        <v>13666.925750741857</v>
      </c>
      <c r="C747" s="288">
        <v>94600</v>
      </c>
      <c r="D747" s="110">
        <f t="shared" si="29"/>
        <v>11681.133120292187</v>
      </c>
      <c r="E747" s="288">
        <v>11085</v>
      </c>
      <c r="F747" s="177">
        <f>USD_CNY!B990</f>
        <v>6.9218200000000003</v>
      </c>
      <c r="G747" s="106">
        <f t="shared" si="16"/>
        <v>-2000</v>
      </c>
    </row>
    <row r="748" spans="1:7" x14ac:dyDescent="0.3">
      <c r="A748" s="350">
        <v>43430</v>
      </c>
      <c r="B748" s="110">
        <f t="shared" si="28"/>
        <v>13590.029895904621</v>
      </c>
      <c r="C748" s="288">
        <f>C749-200</f>
        <v>94325</v>
      </c>
      <c r="D748" s="110">
        <f t="shared" si="29"/>
        <v>11615.410167439848</v>
      </c>
      <c r="E748" s="288">
        <v>10710</v>
      </c>
      <c r="F748" s="177">
        <f>USD_CNY!B991</f>
        <v>6.9407500000000004</v>
      </c>
      <c r="G748" s="106">
        <f t="shared" si="16"/>
        <v>-275</v>
      </c>
    </row>
    <row r="749" spans="1:7" x14ac:dyDescent="0.3">
      <c r="A749" s="350">
        <v>43431</v>
      </c>
      <c r="B749" s="110">
        <f t="shared" si="28"/>
        <v>13600.797702432819</v>
      </c>
      <c r="C749" s="288">
        <v>94525</v>
      </c>
      <c r="D749" s="110">
        <f t="shared" si="29"/>
        <v>11624.613420882752</v>
      </c>
      <c r="E749" s="288">
        <v>10770</v>
      </c>
      <c r="F749" s="177">
        <f>USD_CNY!B992</f>
        <v>6.9499599999999999</v>
      </c>
      <c r="G749" s="106">
        <f t="shared" ref="G749:G751" si="31">+C749-C748</f>
        <v>200</v>
      </c>
    </row>
    <row r="750" spans="1:7" x14ac:dyDescent="0.3">
      <c r="A750" s="350">
        <v>43432</v>
      </c>
      <c r="B750" s="110">
        <f t="shared" si="28"/>
        <v>13603.337889360479</v>
      </c>
      <c r="C750" s="288">
        <v>94550</v>
      </c>
      <c r="D750" s="110">
        <f t="shared" si="29"/>
        <v>11626.784520820922</v>
      </c>
      <c r="E750" s="288">
        <v>10710</v>
      </c>
      <c r="F750" s="177">
        <f>USD_CNY!B993</f>
        <v>6.9504999999999999</v>
      </c>
      <c r="G750" s="106">
        <f t="shared" si="31"/>
        <v>25</v>
      </c>
    </row>
    <row r="751" spans="1:7" x14ac:dyDescent="0.3">
      <c r="A751" s="350">
        <v>43433</v>
      </c>
      <c r="B751" s="110">
        <f t="shared" si="28"/>
        <v>13627.669863031468</v>
      </c>
      <c r="C751" s="288">
        <v>94550</v>
      </c>
      <c r="D751" s="110">
        <f t="shared" si="29"/>
        <v>11647.581079514075</v>
      </c>
      <c r="E751" s="288">
        <v>10735</v>
      </c>
      <c r="F751" s="177">
        <f>USD_CNY!B994</f>
        <v>6.9380899999999999</v>
      </c>
      <c r="G751" s="106">
        <f t="shared" si="31"/>
        <v>0</v>
      </c>
    </row>
    <row r="752" spans="1:7" x14ac:dyDescent="0.3">
      <c r="A752" s="350">
        <v>43434</v>
      </c>
      <c r="B752" s="110">
        <f t="shared" si="28"/>
        <v>13756.804499080716</v>
      </c>
      <c r="C752" s="288">
        <v>95400</v>
      </c>
      <c r="D752" s="110">
        <f t="shared" si="29"/>
        <v>11757.952563316852</v>
      </c>
      <c r="E752" s="288">
        <v>10890</v>
      </c>
      <c r="F752" s="177">
        <f>USD_CNY!B995</f>
        <v>6.9347500000000002</v>
      </c>
      <c r="G752" s="106">
        <f t="shared" ref="G752" si="32">+C752-C751</f>
        <v>850</v>
      </c>
    </row>
    <row r="753" spans="1:7" x14ac:dyDescent="0.3">
      <c r="A753" s="350">
        <v>43437</v>
      </c>
      <c r="B753" s="110">
        <f t="shared" si="28"/>
        <v>13942.717044519841</v>
      </c>
      <c r="C753" s="289">
        <v>96450</v>
      </c>
      <c r="D753" s="110">
        <f t="shared" si="29"/>
        <v>11916.852174803284</v>
      </c>
      <c r="E753" s="289">
        <v>11020</v>
      </c>
      <c r="F753" s="177">
        <f>USD_CNY!B996</f>
        <v>6.9175899999999997</v>
      </c>
      <c r="G753" s="106">
        <f t="shared" ref="G753:G759" si="33">+C753-C752</f>
        <v>1050</v>
      </c>
    </row>
    <row r="754" spans="1:7" x14ac:dyDescent="0.3">
      <c r="A754" s="350">
        <v>43438</v>
      </c>
      <c r="B754" s="110">
        <f t="shared" si="28"/>
        <v>13928.964825817004</v>
      </c>
      <c r="C754" s="290">
        <v>95725</v>
      </c>
      <c r="D754" s="110">
        <f t="shared" si="29"/>
        <v>11905.098141723936</v>
      </c>
      <c r="E754" s="290">
        <v>11200</v>
      </c>
      <c r="F754" s="177">
        <f>USD_CNY!B997</f>
        <v>6.8723700000000001</v>
      </c>
      <c r="G754" s="106">
        <f t="shared" si="33"/>
        <v>-725</v>
      </c>
    </row>
    <row r="755" spans="1:7" x14ac:dyDescent="0.3">
      <c r="A755" s="350">
        <v>43439</v>
      </c>
      <c r="B755" s="110">
        <f t="shared" si="28"/>
        <v>13810.379798221698</v>
      </c>
      <c r="C755" s="290">
        <v>94575</v>
      </c>
      <c r="D755" s="110">
        <f t="shared" si="29"/>
        <v>11803.743417283504</v>
      </c>
      <c r="E755" s="290">
        <v>11265</v>
      </c>
      <c r="F755" s="177">
        <f>USD_CNY!B998</f>
        <v>6.8481100000000001</v>
      </c>
      <c r="G755" s="106">
        <f t="shared" si="33"/>
        <v>-1150</v>
      </c>
    </row>
    <row r="756" spans="1:7" x14ac:dyDescent="0.3">
      <c r="A756" s="350">
        <v>43440</v>
      </c>
      <c r="B756" s="110">
        <f t="shared" si="28"/>
        <v>13752.971546079018</v>
      </c>
      <c r="C756" s="290">
        <v>94300</v>
      </c>
      <c r="D756" s="110">
        <f t="shared" si="29"/>
        <v>11754.676535110271</v>
      </c>
      <c r="E756" s="290">
        <v>11020</v>
      </c>
      <c r="F756" s="177">
        <f>USD_CNY!B999</f>
        <v>6.8567</v>
      </c>
      <c r="G756" s="106">
        <f t="shared" si="33"/>
        <v>-275</v>
      </c>
    </row>
    <row r="757" spans="1:7" x14ac:dyDescent="0.3">
      <c r="A757" s="350">
        <v>43445</v>
      </c>
      <c r="B757" s="110">
        <f t="shared" si="28"/>
        <v>13406.804260657795</v>
      </c>
      <c r="C757" s="290">
        <v>92650</v>
      </c>
      <c r="D757" s="110">
        <f t="shared" si="29"/>
        <v>11458.807060391278</v>
      </c>
      <c r="E757" s="290">
        <v>10740</v>
      </c>
      <c r="F757" s="177">
        <f>USD_CNY!B1000</f>
        <v>6.9106699999999996</v>
      </c>
      <c r="G757" s="106">
        <v>-25</v>
      </c>
    </row>
    <row r="758" spans="1:7" x14ac:dyDescent="0.3">
      <c r="A758" s="350">
        <v>43446</v>
      </c>
      <c r="B758" s="106">
        <f t="shared" si="28"/>
        <v>13394.351078023616</v>
      </c>
      <c r="C758" s="290">
        <f>C759+485</f>
        <v>92460</v>
      </c>
      <c r="D758" s="106">
        <f t="shared" si="29"/>
        <v>11448.1633145501</v>
      </c>
      <c r="E758" s="290">
        <v>10740</v>
      </c>
      <c r="F758" s="177">
        <f>USD_CNY!B1001</f>
        <v>6.9029100000000003</v>
      </c>
      <c r="G758" s="106">
        <f t="shared" si="33"/>
        <v>-190</v>
      </c>
    </row>
    <row r="759" spans="1:7" x14ac:dyDescent="0.3">
      <c r="A759" s="350">
        <v>43447</v>
      </c>
      <c r="B759" s="106">
        <f t="shared" si="28"/>
        <v>13392.811638604497</v>
      </c>
      <c r="C759" s="290">
        <v>91975</v>
      </c>
      <c r="D759" s="106">
        <f t="shared" si="29"/>
        <v>11446.847554362819</v>
      </c>
      <c r="E759" s="290">
        <v>10720</v>
      </c>
      <c r="F759" s="177">
        <f>USD_CNY!B1002</f>
        <v>6.8674900000000001</v>
      </c>
      <c r="G759" s="106">
        <f t="shared" si="33"/>
        <v>-485</v>
      </c>
    </row>
    <row r="760" spans="1:7" x14ac:dyDescent="0.3">
      <c r="A760" s="350">
        <v>43448</v>
      </c>
      <c r="B760" s="106">
        <f t="shared" si="28"/>
        <v>13418.441613964776</v>
      </c>
      <c r="C760" s="290">
        <v>92275</v>
      </c>
      <c r="D760" s="106">
        <f t="shared" si="29"/>
        <v>11468.753516209212</v>
      </c>
      <c r="E760" s="290">
        <v>10800</v>
      </c>
      <c r="F760" s="177">
        <f>USD_CNY!B1003</f>
        <v>6.8767300000000002</v>
      </c>
      <c r="G760" s="106">
        <f t="shared" ref="G760" si="34">+C760-C759</f>
        <v>300</v>
      </c>
    </row>
    <row r="761" spans="1:7" x14ac:dyDescent="0.3">
      <c r="A761" s="350">
        <v>43451</v>
      </c>
      <c r="B761" s="106">
        <f t="shared" si="28"/>
        <v>13534.197492749148</v>
      </c>
      <c r="C761" s="290">
        <v>93375</v>
      </c>
      <c r="D761" s="106">
        <f t="shared" si="29"/>
        <v>11567.690164742862</v>
      </c>
      <c r="E761" s="290">
        <v>10740</v>
      </c>
      <c r="F761" s="177">
        <f>USD_CNY!B1004</f>
        <v>6.8991899999999999</v>
      </c>
      <c r="G761" s="106">
        <f t="shared" ref="G761:G765" si="35">+C761-C760</f>
        <v>1100</v>
      </c>
    </row>
    <row r="762" spans="1:7" x14ac:dyDescent="0.3">
      <c r="A762" s="350">
        <v>43452</v>
      </c>
      <c r="B762" s="106">
        <f t="shared" si="28"/>
        <v>13511.241613899512</v>
      </c>
      <c r="C762" s="290">
        <f>C763+1025</f>
        <v>93225</v>
      </c>
      <c r="D762" s="106">
        <f t="shared" si="29"/>
        <v>11548.069755469669</v>
      </c>
      <c r="F762" s="177">
        <f>USD_CNY!B1005</f>
        <v>6.8998100000000004</v>
      </c>
      <c r="G762" s="106">
        <f t="shared" si="35"/>
        <v>-150</v>
      </c>
    </row>
    <row r="763" spans="1:7" x14ac:dyDescent="0.3">
      <c r="A763" s="350">
        <v>43453</v>
      </c>
      <c r="B763" s="106">
        <f t="shared" si="28"/>
        <v>13392.947930193979</v>
      </c>
      <c r="C763" s="290">
        <v>92200</v>
      </c>
      <c r="D763" s="106">
        <f t="shared" si="29"/>
        <v>11446.964042900838</v>
      </c>
      <c r="E763" s="290">
        <v>10885</v>
      </c>
      <c r="F763" s="177">
        <f>USD_CNY!B1006</f>
        <v>6.88422</v>
      </c>
      <c r="G763" s="106">
        <f t="shared" si="35"/>
        <v>-1025</v>
      </c>
    </row>
    <row r="764" spans="1:7" x14ac:dyDescent="0.3">
      <c r="A764" s="350">
        <v>43454</v>
      </c>
      <c r="B764" s="106">
        <f t="shared" si="28"/>
        <v>13361.548288418253</v>
      </c>
      <c r="C764" s="290">
        <v>92250</v>
      </c>
      <c r="D764" s="106">
        <f t="shared" si="29"/>
        <v>11420.126742237824</v>
      </c>
      <c r="E764" s="290">
        <v>10775</v>
      </c>
      <c r="F764" s="177">
        <f>USD_CNY!B1007</f>
        <v>6.9041399999999999</v>
      </c>
      <c r="G764" s="106">
        <f t="shared" si="35"/>
        <v>50</v>
      </c>
    </row>
    <row r="765" spans="1:7" x14ac:dyDescent="0.3">
      <c r="A765" s="350">
        <v>43459</v>
      </c>
      <c r="B765" s="106">
        <f t="shared" si="28"/>
        <v>13152.9881877025</v>
      </c>
      <c r="C765" s="290">
        <f>C766+625</f>
        <v>90650</v>
      </c>
      <c r="D765" s="106">
        <f t="shared" si="29"/>
        <v>11241.870245899574</v>
      </c>
      <c r="F765" s="177">
        <f>USD_CNY!B1008</f>
        <v>6.8919699999999997</v>
      </c>
      <c r="G765" s="106">
        <f t="shared" si="35"/>
        <v>-1600</v>
      </c>
    </row>
    <row r="766" spans="1:7" x14ac:dyDescent="0.3">
      <c r="A766" s="350">
        <v>43460</v>
      </c>
      <c r="B766" s="106">
        <f t="shared" si="28"/>
        <v>13011.273305390952</v>
      </c>
      <c r="C766" s="290">
        <v>90025</v>
      </c>
      <c r="D766" s="106">
        <f t="shared" si="29"/>
        <v>11120.746414864063</v>
      </c>
      <c r="E766" s="290">
        <v>10800</v>
      </c>
      <c r="F766" s="177">
        <f>USD_CNY!B1009</f>
        <v>6.9189999999999996</v>
      </c>
      <c r="G766" s="106">
        <f t="shared" ref="G766" si="36">+C766-C765</f>
        <v>-625</v>
      </c>
    </row>
    <row r="767" spans="1:7" x14ac:dyDescent="0.3">
      <c r="A767" s="350">
        <v>43461</v>
      </c>
      <c r="B767" s="106">
        <f t="shared" si="28"/>
        <v>13050.425363322101</v>
      </c>
      <c r="C767" s="290">
        <f>C768+525</f>
        <v>89925</v>
      </c>
      <c r="D767" s="106">
        <f t="shared" si="29"/>
        <v>11154.209712241112</v>
      </c>
      <c r="F767" s="177">
        <f>USD_CNY!B1010</f>
        <v>6.8905799999999999</v>
      </c>
      <c r="G767" s="106">
        <f t="shared" ref="G767:G769" si="37">+C767-C766</f>
        <v>-100</v>
      </c>
    </row>
    <row r="768" spans="1:7" x14ac:dyDescent="0.3">
      <c r="A768" s="350">
        <v>43462</v>
      </c>
      <c r="B768" s="106">
        <f t="shared" si="28"/>
        <v>13010.278702290188</v>
      </c>
      <c r="C768" s="290">
        <v>89400</v>
      </c>
      <c r="D768" s="106">
        <f t="shared" si="29"/>
        <v>11119.896326743752</v>
      </c>
      <c r="E768" s="290">
        <v>10650</v>
      </c>
      <c r="F768" s="177">
        <f>USD_CNY!B1011</f>
        <v>6.8714899999999997</v>
      </c>
      <c r="G768" s="106">
        <f t="shared" si="37"/>
        <v>-525</v>
      </c>
    </row>
    <row r="769" spans="1:7" x14ac:dyDescent="0.3">
      <c r="A769" s="350">
        <v>43467</v>
      </c>
      <c r="B769" s="106">
        <f t="shared" si="28"/>
        <v>12873.240256809679</v>
      </c>
      <c r="C769" s="290">
        <v>88425</v>
      </c>
      <c r="D769" s="106">
        <f t="shared" si="29"/>
        <v>11002.769450264683</v>
      </c>
      <c r="E769" s="290">
        <v>10595</v>
      </c>
      <c r="F769" s="177">
        <f>USD_CNY!B1012</f>
        <v>6.8689</v>
      </c>
      <c r="G769" s="106">
        <f t="shared" si="37"/>
        <v>-975</v>
      </c>
    </row>
    <row r="770" spans="1:7" x14ac:dyDescent="0.3">
      <c r="A770" s="350">
        <v>43468</v>
      </c>
      <c r="B770" s="106">
        <f t="shared" si="28"/>
        <v>12893.101427185609</v>
      </c>
      <c r="C770" s="290">
        <v>88650</v>
      </c>
      <c r="D770" s="106">
        <f t="shared" si="29"/>
        <v>11019.74480956035</v>
      </c>
      <c r="E770" s="290">
        <v>10440</v>
      </c>
      <c r="F770" s="177">
        <f>USD_CNY!B1013</f>
        <v>6.8757700000000002</v>
      </c>
      <c r="G770" s="106">
        <f t="shared" ref="G770:G773" si="38">+C770-C769</f>
        <v>225</v>
      </c>
    </row>
    <row r="771" spans="1:7" x14ac:dyDescent="0.3">
      <c r="A771" s="350">
        <v>43469</v>
      </c>
      <c r="B771" s="106">
        <f t="shared" si="28"/>
        <v>13007.995299961898</v>
      </c>
      <c r="C771" s="290">
        <v>89450</v>
      </c>
      <c r="D771" s="106">
        <f t="shared" si="29"/>
        <v>11117.944700822136</v>
      </c>
      <c r="E771" s="290">
        <v>10715</v>
      </c>
      <c r="F771" s="177">
        <f>USD_CNY!B1014</f>
        <v>6.8765400000000003</v>
      </c>
      <c r="G771" s="106">
        <f t="shared" si="38"/>
        <v>800</v>
      </c>
    </row>
    <row r="772" spans="1:7" x14ac:dyDescent="0.3">
      <c r="A772" s="350">
        <v>43472</v>
      </c>
      <c r="B772" s="106">
        <f t="shared" si="28"/>
        <v>13301.049515451363</v>
      </c>
      <c r="C772" s="290">
        <f>C773+150</f>
        <v>91300</v>
      </c>
      <c r="D772" s="106">
        <f t="shared" si="29"/>
        <v>11368.41838927467</v>
      </c>
      <c r="F772" s="177">
        <f>USD_CNY!B1015</f>
        <v>6.8641199999999998</v>
      </c>
      <c r="G772" s="106">
        <f t="shared" si="38"/>
        <v>1850</v>
      </c>
    </row>
    <row r="773" spans="1:7" x14ac:dyDescent="0.3">
      <c r="A773" s="350">
        <v>43473</v>
      </c>
      <c r="B773" s="106">
        <f t="shared" si="28"/>
        <v>13316.600534124977</v>
      </c>
      <c r="C773" s="290">
        <v>91150</v>
      </c>
      <c r="D773" s="106">
        <f t="shared" si="29"/>
        <v>11381.709858226477</v>
      </c>
      <c r="E773" s="290">
        <v>11040</v>
      </c>
      <c r="F773" s="177">
        <f>USD_CNY!B1016</f>
        <v>6.8448399999999996</v>
      </c>
      <c r="G773" s="106">
        <f t="shared" si="38"/>
        <v>-150</v>
      </c>
    </row>
    <row r="774" spans="1:7" x14ac:dyDescent="0.3">
      <c r="A774" s="350">
        <v>43474</v>
      </c>
      <c r="B774" s="106">
        <f t="shared" si="28"/>
        <v>13425.188864681393</v>
      </c>
      <c r="C774" s="290">
        <v>92000</v>
      </c>
      <c r="D774" s="106">
        <f t="shared" si="29"/>
        <v>11474.520397163584</v>
      </c>
      <c r="E774" s="290">
        <v>11055</v>
      </c>
      <c r="F774" s="177">
        <f>USD_CNY!B1017</f>
        <v>6.8527899999999997</v>
      </c>
      <c r="G774" s="106">
        <f t="shared" ref="G774:G777" si="39">+C774-C773</f>
        <v>850</v>
      </c>
    </row>
    <row r="775" spans="1:7" x14ac:dyDescent="0.3">
      <c r="A775" s="350">
        <v>43475</v>
      </c>
      <c r="B775" s="106">
        <f t="shared" si="28"/>
        <v>13456.154079938218</v>
      </c>
      <c r="C775" s="290">
        <v>91650</v>
      </c>
      <c r="D775" s="106">
        <f t="shared" si="29"/>
        <v>11500.98639310959</v>
      </c>
      <c r="E775" s="290">
        <v>11205</v>
      </c>
      <c r="F775" s="177">
        <f>USD_CNY!B1018</f>
        <v>6.8110099999999996</v>
      </c>
      <c r="G775" s="106">
        <f t="shared" si="39"/>
        <v>-350</v>
      </c>
    </row>
    <row r="776" spans="1:7" x14ac:dyDescent="0.3">
      <c r="A776" s="350">
        <v>43480</v>
      </c>
      <c r="B776" s="106">
        <f t="shared" si="28"/>
        <v>13613.017623718742</v>
      </c>
      <c r="C776" s="290">
        <f>C777-1275</f>
        <v>92050</v>
      </c>
      <c r="D776" s="106">
        <f t="shared" si="29"/>
        <v>11635.057798050208</v>
      </c>
      <c r="F776" s="177">
        <f>USD_CNY!B1019</f>
        <v>6.7619100000000003</v>
      </c>
      <c r="G776" s="106">
        <f t="shared" si="39"/>
        <v>400</v>
      </c>
    </row>
    <row r="777" spans="1:7" x14ac:dyDescent="0.3">
      <c r="A777" s="350">
        <v>43481</v>
      </c>
      <c r="B777" s="106">
        <f t="shared" si="28"/>
        <v>13779.280509682039</v>
      </c>
      <c r="C777" s="290">
        <v>93325</v>
      </c>
      <c r="D777" s="106">
        <f t="shared" si="29"/>
        <v>11777.162828788069</v>
      </c>
      <c r="E777" s="290">
        <v>11430</v>
      </c>
      <c r="F777" s="177">
        <f>USD_CNY!B1020</f>
        <v>6.77285</v>
      </c>
      <c r="G777" s="106">
        <f t="shared" si="39"/>
        <v>1275</v>
      </c>
    </row>
    <row r="778" spans="1:7" x14ac:dyDescent="0.3">
      <c r="A778" s="350">
        <v>43482</v>
      </c>
      <c r="B778" s="106">
        <f t="shared" si="28"/>
        <v>13802.796064797692</v>
      </c>
      <c r="C778" s="290">
        <v>93300</v>
      </c>
      <c r="D778" s="106">
        <f t="shared" si="29"/>
        <v>11797.261593844183</v>
      </c>
      <c r="E778" s="290">
        <v>11580</v>
      </c>
      <c r="F778" s="177">
        <f>USD_CNY!B1021</f>
        <v>6.7595000000000001</v>
      </c>
      <c r="G778" s="106">
        <f t="shared" ref="G778:G780" si="40">+C778-C777</f>
        <v>-25</v>
      </c>
    </row>
    <row r="779" spans="1:7" x14ac:dyDescent="0.3">
      <c r="A779" s="350">
        <v>43483</v>
      </c>
      <c r="B779" s="106">
        <f t="shared" si="28"/>
        <v>13882.554035682815</v>
      </c>
      <c r="C779" s="290">
        <v>94050</v>
      </c>
      <c r="D779" s="106">
        <f t="shared" si="29"/>
        <v>11865.430799728903</v>
      </c>
      <c r="E779" s="290">
        <v>11450</v>
      </c>
      <c r="F779" s="177">
        <f>USD_CNY!B1022</f>
        <v>6.7746899999999997</v>
      </c>
      <c r="G779" s="106">
        <f t="shared" si="40"/>
        <v>750</v>
      </c>
    </row>
    <row r="780" spans="1:7" x14ac:dyDescent="0.3">
      <c r="A780" s="350">
        <v>43486</v>
      </c>
      <c r="B780" s="106">
        <f t="shared" si="28"/>
        <v>13990.157633715176</v>
      </c>
      <c r="C780" s="290">
        <f>C781-250</f>
        <v>95150</v>
      </c>
      <c r="D780" s="106">
        <f t="shared" si="29"/>
        <v>11957.399686936049</v>
      </c>
      <c r="F780" s="177">
        <f>USD_CNY!B1023</f>
        <v>6.8012100000000002</v>
      </c>
      <c r="G780" s="106">
        <f t="shared" si="40"/>
        <v>1100</v>
      </c>
    </row>
    <row r="781" spans="1:7" x14ac:dyDescent="0.3">
      <c r="A781" s="350">
        <v>43487</v>
      </c>
      <c r="B781" s="106">
        <f t="shared" si="28"/>
        <v>14029.824406600193</v>
      </c>
      <c r="C781" s="290">
        <v>95400</v>
      </c>
      <c r="D781" s="106">
        <f t="shared" si="29"/>
        <v>11991.302911624098</v>
      </c>
      <c r="E781" s="290">
        <v>11670</v>
      </c>
      <c r="F781" s="177">
        <f>USD_CNY!B1024</f>
        <v>6.7998000000000003</v>
      </c>
      <c r="G781" s="106">
        <f t="shared" ref="G781:G785" si="41">+C781-C780</f>
        <v>250</v>
      </c>
    </row>
    <row r="782" spans="1:7" x14ac:dyDescent="0.3">
      <c r="A782" s="350">
        <v>43488</v>
      </c>
      <c r="B782" s="106" t="str">
        <f t="shared" si="28"/>
        <v/>
      </c>
      <c r="D782" s="106">
        <f t="shared" si="29"/>
        <v>0</v>
      </c>
      <c r="F782" s="177">
        <f>USD_CNY!B1025</f>
        <v>0</v>
      </c>
      <c r="G782" s="106">
        <f t="shared" si="41"/>
        <v>-95400</v>
      </c>
    </row>
    <row r="783" spans="1:7" x14ac:dyDescent="0.3">
      <c r="A783" s="350">
        <v>43489</v>
      </c>
      <c r="B783" s="106" t="str">
        <f t="shared" si="28"/>
        <v/>
      </c>
      <c r="D783" s="106">
        <f t="shared" si="29"/>
        <v>0</v>
      </c>
      <c r="F783" s="177">
        <f>USD_CNY!B1026</f>
        <v>0</v>
      </c>
      <c r="G783" s="106">
        <f t="shared" si="41"/>
        <v>0</v>
      </c>
    </row>
    <row r="784" spans="1:7" x14ac:dyDescent="0.3">
      <c r="A784" s="350">
        <v>43490</v>
      </c>
      <c r="B784" s="106" t="str">
        <f t="shared" si="28"/>
        <v/>
      </c>
      <c r="D784" s="106">
        <f t="shared" si="29"/>
        <v>0</v>
      </c>
      <c r="F784" s="177">
        <f>USD_CNY!B1027</f>
        <v>0</v>
      </c>
      <c r="G784" s="106">
        <f t="shared" si="41"/>
        <v>0</v>
      </c>
    </row>
    <row r="785" spans="1:7" x14ac:dyDescent="0.3">
      <c r="A785" s="350"/>
      <c r="F785" s="177">
        <f>USD_CNY!B1028</f>
        <v>0</v>
      </c>
      <c r="G785" s="106">
        <f t="shared" si="41"/>
        <v>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8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105" sqref="E105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11.089843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1022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1023</v>
      </c>
      <c r="C4" s="363" t="s">
        <v>1023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1024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1024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1024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1024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1024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1024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1024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1024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1024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1024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1024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1024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1024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1024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1024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1024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1024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1024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1024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1024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1024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1024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1024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1024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1024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1024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1024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1024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1024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1024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1024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1024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1024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1024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1024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1024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1024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1024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1024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1024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1024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1024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1024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1024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1024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1024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1024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1024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105" si="13">+IF(F55=0,"",C55/F55)</f>
        <v>342.49720205469623</v>
      </c>
      <c r="C55" s="371">
        <v>2387</v>
      </c>
      <c r="D55" s="357">
        <f t="shared" ref="D55:D105" si="14">+IF(ISERROR(B55/1.17),0,B55/1.17)</f>
        <v>292.73265132880022</v>
      </c>
      <c r="E55" s="1" t="s">
        <v>1024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1024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1024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1024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>
        <f t="shared" si="13"/>
        <v>348.55786624987337</v>
      </c>
      <c r="C59" s="371">
        <v>2408.5</v>
      </c>
      <c r="D59" s="357">
        <f t="shared" si="14"/>
        <v>297.91270619647298</v>
      </c>
      <c r="E59" s="1" t="s">
        <v>1024</v>
      </c>
      <c r="F59" s="1">
        <f>USD_CNY!B977</f>
        <v>6.9099000000000004</v>
      </c>
      <c r="G59" s="361">
        <f t="shared" si="18"/>
        <v>2.5</v>
      </c>
    </row>
    <row r="60" spans="1:7" x14ac:dyDescent="0.3">
      <c r="A60" s="350">
        <v>43411</v>
      </c>
      <c r="B60" s="357">
        <f t="shared" si="13"/>
        <v>344.53960001907285</v>
      </c>
      <c r="C60" s="371">
        <f>C61+61</f>
        <v>2384.5</v>
      </c>
      <c r="D60" s="357">
        <f t="shared" si="14"/>
        <v>294.4782906145922</v>
      </c>
      <c r="E60" s="1" t="s">
        <v>1024</v>
      </c>
      <c r="F60" s="1">
        <f>USD_CNY!B978</f>
        <v>6.9208299999999996</v>
      </c>
      <c r="G60" s="361">
        <f t="shared" si="18"/>
        <v>-24</v>
      </c>
    </row>
    <row r="61" spans="1:7" x14ac:dyDescent="0.3">
      <c r="A61" s="350">
        <v>43412</v>
      </c>
      <c r="B61" s="357">
        <f t="shared" si="13"/>
        <v>335.89841078922751</v>
      </c>
      <c r="C61" s="371">
        <v>2323.5</v>
      </c>
      <c r="D61" s="357">
        <f t="shared" si="14"/>
        <v>287.09265879421156</v>
      </c>
      <c r="E61" s="1" t="s">
        <v>1024</v>
      </c>
      <c r="F61" s="1">
        <f>USD_CNY!B979</f>
        <v>6.9172700000000003</v>
      </c>
      <c r="G61" s="361">
        <f t="shared" si="18"/>
        <v>-61</v>
      </c>
    </row>
    <row r="62" spans="1:7" x14ac:dyDescent="0.3">
      <c r="A62" s="350">
        <v>43413</v>
      </c>
      <c r="B62" s="357">
        <f t="shared" si="13"/>
        <v>334.45754829014248</v>
      </c>
      <c r="C62" s="371">
        <v>2323.5</v>
      </c>
      <c r="D62" s="357">
        <f t="shared" si="14"/>
        <v>285.86115238473718</v>
      </c>
      <c r="E62" s="1" t="s">
        <v>1024</v>
      </c>
      <c r="F62" s="1">
        <f>USD_CNY!B980</f>
        <v>6.9470700000000001</v>
      </c>
      <c r="G62" s="361">
        <f t="shared" si="18"/>
        <v>0</v>
      </c>
    </row>
    <row r="63" spans="1:7" x14ac:dyDescent="0.3">
      <c r="A63" s="350">
        <v>43416</v>
      </c>
      <c r="B63" s="357">
        <f t="shared" si="13"/>
        <v>332.37033742282716</v>
      </c>
      <c r="C63" s="371">
        <f>C64+8.5</f>
        <v>2309</v>
      </c>
      <c r="D63" s="357">
        <f t="shared" si="14"/>
        <v>284.07721147250186</v>
      </c>
      <c r="E63" s="1" t="s">
        <v>1024</v>
      </c>
      <c r="F63" s="1">
        <f>USD_CNY!B981</f>
        <v>6.9470700000000001</v>
      </c>
      <c r="G63" s="361">
        <f t="shared" ref="G63:G64" si="19">C63-C62</f>
        <v>-14.5</v>
      </c>
    </row>
    <row r="64" spans="1:7" x14ac:dyDescent="0.3">
      <c r="A64" s="350">
        <v>43417</v>
      </c>
      <c r="B64" s="357">
        <f t="shared" si="13"/>
        <v>330.4950458067139</v>
      </c>
      <c r="C64" s="371">
        <v>2300.5</v>
      </c>
      <c r="D64" s="357">
        <f t="shared" si="14"/>
        <v>282.47439812539653</v>
      </c>
      <c r="E64" s="1" t="s">
        <v>1024</v>
      </c>
      <c r="F64" s="1">
        <f>USD_CNY!B982</f>
        <v>6.9607700000000001</v>
      </c>
      <c r="G64" s="361">
        <f t="shared" si="19"/>
        <v>-8.5</v>
      </c>
    </row>
    <row r="65" spans="1:7" x14ac:dyDescent="0.3">
      <c r="A65" s="350">
        <v>43418</v>
      </c>
      <c r="B65" s="357">
        <f t="shared" si="13"/>
        <v>338.48865033589709</v>
      </c>
      <c r="C65" s="371">
        <v>2351</v>
      </c>
      <c r="D65" s="357">
        <f t="shared" si="14"/>
        <v>289.30653874863003</v>
      </c>
      <c r="E65" s="1" t="s">
        <v>1024</v>
      </c>
      <c r="F65" s="1">
        <f>USD_CNY!B983</f>
        <v>6.9455799999999996</v>
      </c>
      <c r="G65" s="361">
        <f t="shared" ref="G65:G67" si="20">C65-C64</f>
        <v>50.5</v>
      </c>
    </row>
    <row r="66" spans="1:7" x14ac:dyDescent="0.3">
      <c r="A66" s="350">
        <v>43419</v>
      </c>
      <c r="B66" s="357">
        <f t="shared" si="13"/>
        <v>343.10456334830872</v>
      </c>
      <c r="C66" s="371">
        <v>2382</v>
      </c>
      <c r="D66" s="357">
        <f t="shared" si="14"/>
        <v>293.25176354556305</v>
      </c>
      <c r="E66" s="1" t="s">
        <v>1024</v>
      </c>
      <c r="F66" s="1">
        <f>USD_CNY!B984</f>
        <v>6.9424900000000003</v>
      </c>
      <c r="G66" s="361">
        <f t="shared" si="20"/>
        <v>31</v>
      </c>
    </row>
    <row r="67" spans="1:7" x14ac:dyDescent="0.3">
      <c r="A67" s="350">
        <v>43423</v>
      </c>
      <c r="B67" s="357">
        <f t="shared" si="13"/>
        <v>345.44610968419863</v>
      </c>
      <c r="C67" s="371">
        <f>C68+86.5</f>
        <v>2390</v>
      </c>
      <c r="D67" s="357">
        <f t="shared" si="14"/>
        <v>295.25308520016978</v>
      </c>
      <c r="E67" s="1" t="s">
        <v>1024</v>
      </c>
      <c r="F67" s="1">
        <f>USD_CNY!B986</f>
        <v>6.91859</v>
      </c>
      <c r="G67" s="361">
        <f t="shared" si="20"/>
        <v>8</v>
      </c>
    </row>
    <row r="68" spans="1:7" x14ac:dyDescent="0.3">
      <c r="A68" s="350">
        <v>43424</v>
      </c>
      <c r="B68" s="357">
        <f t="shared" si="13"/>
        <v>332.28653817580675</v>
      </c>
      <c r="C68" s="371">
        <v>2303.5</v>
      </c>
      <c r="D68" s="357">
        <f t="shared" si="14"/>
        <v>284.00558818445023</v>
      </c>
      <c r="E68" s="1" t="s">
        <v>1024</v>
      </c>
      <c r="F68" s="1">
        <f>USD_CNY!B987</f>
        <v>6.9322699999999999</v>
      </c>
      <c r="G68" s="361">
        <f t="shared" ref="G68" si="21">C68-C67</f>
        <v>-86.5</v>
      </c>
    </row>
    <row r="69" spans="1:7" x14ac:dyDescent="0.3">
      <c r="A69" s="350">
        <v>43425</v>
      </c>
      <c r="B69" s="357">
        <f t="shared" si="13"/>
        <v>324.23675115207374</v>
      </c>
      <c r="C69" s="371">
        <v>2251.5</v>
      </c>
      <c r="D69" s="357">
        <f t="shared" si="14"/>
        <v>277.12542833510577</v>
      </c>
      <c r="E69" s="1" t="s">
        <v>1024</v>
      </c>
      <c r="F69" s="1">
        <f>USD_CNY!B988</f>
        <v>6.944</v>
      </c>
      <c r="G69" s="361">
        <f t="shared" ref="G69:G72" si="22">C69-C68</f>
        <v>-52</v>
      </c>
    </row>
    <row r="70" spans="1:7" x14ac:dyDescent="0.3">
      <c r="A70" s="350">
        <v>43426</v>
      </c>
      <c r="B70" s="357">
        <f t="shared" si="13"/>
        <v>327.37054705265376</v>
      </c>
      <c r="C70" s="371">
        <v>2266</v>
      </c>
      <c r="D70" s="357">
        <f t="shared" si="14"/>
        <v>279.80388636978955</v>
      </c>
      <c r="E70" s="1" t="s">
        <v>1024</v>
      </c>
      <c r="F70" s="1">
        <f>USD_CNY!B989</f>
        <v>6.9218200000000003</v>
      </c>
      <c r="G70" s="361">
        <f t="shared" si="22"/>
        <v>14.5</v>
      </c>
    </row>
    <row r="71" spans="1:7" x14ac:dyDescent="0.3">
      <c r="A71" s="350">
        <v>43427</v>
      </c>
      <c r="B71" s="357">
        <f t="shared" si="13"/>
        <v>327.37054705265376</v>
      </c>
      <c r="C71" s="371">
        <v>2266</v>
      </c>
      <c r="D71" s="357">
        <f t="shared" si="14"/>
        <v>279.80388636978955</v>
      </c>
      <c r="E71" s="1" t="s">
        <v>1024</v>
      </c>
      <c r="F71" s="1">
        <f>USD_CNY!B990</f>
        <v>6.9218200000000003</v>
      </c>
      <c r="G71" s="361">
        <f t="shared" si="22"/>
        <v>0</v>
      </c>
    </row>
    <row r="72" spans="1:7" x14ac:dyDescent="0.3">
      <c r="A72" s="350">
        <v>43430</v>
      </c>
      <c r="B72" s="357">
        <f t="shared" si="13"/>
        <v>308.46810503187692</v>
      </c>
      <c r="C72" s="371">
        <v>2141</v>
      </c>
      <c r="D72" s="357">
        <f t="shared" si="14"/>
        <v>263.64795301869822</v>
      </c>
      <c r="E72" s="1" t="s">
        <v>1024</v>
      </c>
      <c r="F72" s="1">
        <f>USD_CNY!B991</f>
        <v>6.9407500000000004</v>
      </c>
      <c r="G72" s="361">
        <f t="shared" si="22"/>
        <v>-125</v>
      </c>
    </row>
    <row r="73" spans="1:7" x14ac:dyDescent="0.3">
      <c r="A73" s="350">
        <v>43431</v>
      </c>
      <c r="B73" s="357">
        <f t="shared" si="13"/>
        <v>298.85064086699782</v>
      </c>
      <c r="C73" s="371">
        <v>2077</v>
      </c>
      <c r="D73" s="357">
        <f t="shared" si="14"/>
        <v>255.42789817692122</v>
      </c>
      <c r="E73" s="1" t="s">
        <v>1024</v>
      </c>
      <c r="F73" s="1">
        <f>USD_CNY!B992</f>
        <v>6.9499599999999999</v>
      </c>
      <c r="G73" s="361">
        <f t="shared" ref="G73:G76" si="23">C73-C72</f>
        <v>-64</v>
      </c>
    </row>
    <row r="74" spans="1:7" x14ac:dyDescent="0.3">
      <c r="A74" s="350">
        <v>43432</v>
      </c>
      <c r="B74" s="357">
        <f t="shared" si="13"/>
        <v>305.44565139198619</v>
      </c>
      <c r="C74" s="371">
        <v>2123</v>
      </c>
      <c r="D74" s="357">
        <f t="shared" si="14"/>
        <v>261.06465930938992</v>
      </c>
      <c r="E74" s="1" t="s">
        <v>1024</v>
      </c>
      <c r="F74" s="1">
        <f>USD_CNY!B993</f>
        <v>6.9504999999999999</v>
      </c>
      <c r="G74" s="361">
        <f t="shared" si="23"/>
        <v>46</v>
      </c>
    </row>
    <row r="75" spans="1:7" x14ac:dyDescent="0.3">
      <c r="A75" s="350">
        <v>43433</v>
      </c>
      <c r="B75" s="357">
        <f t="shared" si="13"/>
        <v>305.55959925570295</v>
      </c>
      <c r="C75" s="371">
        <v>2120</v>
      </c>
      <c r="D75" s="357">
        <f t="shared" si="14"/>
        <v>261.16205064589997</v>
      </c>
      <c r="E75" s="1" t="s">
        <v>1024</v>
      </c>
      <c r="F75" s="1">
        <f>USD_CNY!B994</f>
        <v>6.9380899999999999</v>
      </c>
      <c r="G75" s="361">
        <f t="shared" si="23"/>
        <v>-3</v>
      </c>
    </row>
    <row r="76" spans="1:7" x14ac:dyDescent="0.3">
      <c r="A76" s="350">
        <v>43434</v>
      </c>
      <c r="B76" s="357">
        <f t="shared" si="13"/>
        <v>306.57197447636901</v>
      </c>
      <c r="C76" s="371">
        <v>2126</v>
      </c>
      <c r="D76" s="357">
        <f t="shared" si="14"/>
        <v>262.02732861228122</v>
      </c>
      <c r="E76" s="1" t="s">
        <v>1024</v>
      </c>
      <c r="F76" s="1">
        <f>USD_CNY!B995</f>
        <v>6.9347500000000002</v>
      </c>
      <c r="G76" s="361">
        <f t="shared" si="23"/>
        <v>6</v>
      </c>
    </row>
    <row r="77" spans="1:7" x14ac:dyDescent="0.3">
      <c r="A77" s="350">
        <v>43437</v>
      </c>
      <c r="B77" s="357">
        <f t="shared" si="13"/>
        <v>323.5230766784386</v>
      </c>
      <c r="C77" s="371">
        <v>2238</v>
      </c>
      <c r="D77" s="357">
        <f t="shared" si="14"/>
        <v>276.51545015251162</v>
      </c>
      <c r="E77" s="1" t="s">
        <v>1024</v>
      </c>
      <c r="F77" s="1">
        <f>USD_CNY!B996</f>
        <v>6.9175899999999997</v>
      </c>
      <c r="G77" s="361">
        <f t="shared" ref="G77:G83" si="24">C77-C76</f>
        <v>112</v>
      </c>
    </row>
    <row r="78" spans="1:7" x14ac:dyDescent="0.3">
      <c r="A78" s="350">
        <v>43438</v>
      </c>
      <c r="B78" s="357">
        <f t="shared" si="13"/>
        <v>325.14256362797693</v>
      </c>
      <c r="C78" s="371">
        <v>2234.5</v>
      </c>
      <c r="D78" s="357">
        <f t="shared" si="14"/>
        <v>277.89962703245891</v>
      </c>
      <c r="E78" s="1" t="s">
        <v>1024</v>
      </c>
      <c r="F78" s="1">
        <f>USD_CNY!B997</f>
        <v>6.8723700000000001</v>
      </c>
      <c r="G78" s="361">
        <f t="shared" si="24"/>
        <v>-3.5</v>
      </c>
    </row>
    <row r="79" spans="1:7" x14ac:dyDescent="0.3">
      <c r="A79" s="350">
        <v>43439</v>
      </c>
      <c r="B79" s="357">
        <f t="shared" si="13"/>
        <v>290.00702383577368</v>
      </c>
      <c r="C79" s="371">
        <v>1986</v>
      </c>
      <c r="D79" s="357">
        <f t="shared" si="14"/>
        <v>247.86925114168693</v>
      </c>
      <c r="E79" s="1" t="s">
        <v>1024</v>
      </c>
      <c r="F79" s="1">
        <f>USD_CNY!B998</f>
        <v>6.8481100000000001</v>
      </c>
      <c r="G79" s="361">
        <f t="shared" si="24"/>
        <v>-248.5</v>
      </c>
    </row>
    <row r="80" spans="1:7" x14ac:dyDescent="0.3">
      <c r="A80" s="350">
        <v>43440</v>
      </c>
      <c r="B80" s="357">
        <f t="shared" si="13"/>
        <v>281.84111890559598</v>
      </c>
      <c r="C80" s="371">
        <v>1932.5</v>
      </c>
      <c r="D80" s="357">
        <f t="shared" si="14"/>
        <v>240.88984521845811</v>
      </c>
      <c r="E80" s="1" t="s">
        <v>1024</v>
      </c>
      <c r="F80" s="1">
        <f>USD_CNY!B999</f>
        <v>6.8567</v>
      </c>
      <c r="G80" s="361">
        <f t="shared" si="24"/>
        <v>-53.5</v>
      </c>
    </row>
    <row r="81" spans="1:7" x14ac:dyDescent="0.3">
      <c r="A81" s="350">
        <v>43445</v>
      </c>
      <c r="B81" s="357">
        <f t="shared" si="13"/>
        <v>283.98114799288635</v>
      </c>
      <c r="C81" s="371">
        <v>1962.5</v>
      </c>
      <c r="D81" s="357">
        <f t="shared" si="14"/>
        <v>242.71892990844989</v>
      </c>
      <c r="E81" s="1" t="s">
        <v>1024</v>
      </c>
      <c r="F81" s="1">
        <f>USD_CNY!B1000</f>
        <v>6.9106699999999996</v>
      </c>
      <c r="G81" s="361">
        <f t="shared" si="24"/>
        <v>30</v>
      </c>
    </row>
    <row r="82" spans="1:7" x14ac:dyDescent="0.3">
      <c r="A82" s="350">
        <v>43446</v>
      </c>
      <c r="B82" s="357">
        <f t="shared" si="13"/>
        <v>286.98041840325311</v>
      </c>
      <c r="C82" s="371">
        <f>C83-57</f>
        <v>1981</v>
      </c>
      <c r="D82" s="357">
        <f t="shared" si="14"/>
        <v>245.28240889166935</v>
      </c>
      <c r="E82" s="1" t="s">
        <v>1024</v>
      </c>
      <c r="F82" s="1">
        <f>USD_CNY!B1001</f>
        <v>6.9029100000000003</v>
      </c>
      <c r="G82" s="361">
        <f t="shared" si="24"/>
        <v>18.5</v>
      </c>
    </row>
    <row r="83" spans="1:7" x14ac:dyDescent="0.3">
      <c r="A83" s="350">
        <v>43447</v>
      </c>
      <c r="B83" s="357">
        <f t="shared" si="13"/>
        <v>296.7605340524704</v>
      </c>
      <c r="C83" s="371">
        <v>2038</v>
      </c>
      <c r="D83" s="357">
        <f t="shared" si="14"/>
        <v>253.64148209612856</v>
      </c>
      <c r="E83" s="1" t="s">
        <v>1024</v>
      </c>
      <c r="F83" s="1">
        <f>USD_CNY!B1002</f>
        <v>6.8674900000000001</v>
      </c>
      <c r="G83" s="361">
        <f t="shared" si="24"/>
        <v>57</v>
      </c>
    </row>
    <row r="84" spans="1:7" x14ac:dyDescent="0.3">
      <c r="A84" s="350">
        <v>43448</v>
      </c>
      <c r="B84" s="357">
        <f t="shared" si="13"/>
        <v>293.1625932674396</v>
      </c>
      <c r="C84" s="371">
        <v>2016</v>
      </c>
      <c r="D84" s="357">
        <f t="shared" si="14"/>
        <v>250.56631903199968</v>
      </c>
      <c r="E84" s="1" t="s">
        <v>1024</v>
      </c>
      <c r="F84" s="1">
        <f>USD_CNY!B1003</f>
        <v>6.8767300000000002</v>
      </c>
      <c r="G84" s="361">
        <f t="shared" ref="G84:G86" si="25">C84-C83</f>
        <v>-22</v>
      </c>
    </row>
    <row r="85" spans="1:7" x14ac:dyDescent="0.3">
      <c r="A85" s="350">
        <v>43451</v>
      </c>
      <c r="B85" s="357">
        <f t="shared" si="13"/>
        <v>293.94755036460805</v>
      </c>
      <c r="C85" s="371">
        <v>2028</v>
      </c>
      <c r="D85" s="357">
        <f t="shared" si="14"/>
        <v>251.23722253385304</v>
      </c>
      <c r="E85" s="1" t="s">
        <v>1024</v>
      </c>
      <c r="F85" s="1">
        <f>USD_CNY!B1004</f>
        <v>6.8991899999999999</v>
      </c>
      <c r="G85" s="361">
        <f t="shared" si="25"/>
        <v>12</v>
      </c>
    </row>
    <row r="86" spans="1:7" x14ac:dyDescent="0.3">
      <c r="A86" s="350">
        <v>43452</v>
      </c>
      <c r="B86" s="357">
        <f t="shared" si="13"/>
        <v>290.08045149069318</v>
      </c>
      <c r="C86" s="371">
        <f>C87+24.5</f>
        <v>2001.5</v>
      </c>
      <c r="D86" s="357">
        <f t="shared" si="14"/>
        <v>247.93200982110528</v>
      </c>
      <c r="E86" s="1" t="s">
        <v>1024</v>
      </c>
      <c r="F86" s="1">
        <f>USD_CNY!B1005</f>
        <v>6.8998100000000004</v>
      </c>
      <c r="G86" s="361">
        <f t="shared" si="25"/>
        <v>-26.5</v>
      </c>
    </row>
    <row r="87" spans="1:7" x14ac:dyDescent="0.3">
      <c r="A87" s="350">
        <v>43453</v>
      </c>
      <c r="B87" s="357">
        <f t="shared" si="13"/>
        <v>287.17850388279282</v>
      </c>
      <c r="C87" s="371">
        <v>1977</v>
      </c>
      <c r="D87" s="357">
        <f t="shared" si="14"/>
        <v>245.45171272033576</v>
      </c>
      <c r="E87" s="1" t="s">
        <v>1024</v>
      </c>
      <c r="F87" s="1">
        <f>USD_CNY!B1006</f>
        <v>6.88422</v>
      </c>
      <c r="G87" s="361">
        <f t="shared" ref="G87" si="26">C87-C86</f>
        <v>-24.5</v>
      </c>
    </row>
    <row r="88" spans="1:7" x14ac:dyDescent="0.3">
      <c r="A88" s="350">
        <v>43454</v>
      </c>
      <c r="B88" s="357">
        <f t="shared" si="13"/>
        <v>287.65349485960598</v>
      </c>
      <c r="C88" s="371">
        <v>1986</v>
      </c>
      <c r="D88" s="357">
        <f t="shared" si="14"/>
        <v>245.85768791419318</v>
      </c>
      <c r="E88" s="1" t="s">
        <v>1024</v>
      </c>
      <c r="F88" s="1">
        <f>USD_CNY!B1007</f>
        <v>6.9041399999999999</v>
      </c>
      <c r="G88" s="361">
        <f t="shared" ref="G88:G89" si="27">C88-C87</f>
        <v>9</v>
      </c>
    </row>
    <row r="89" spans="1:7" x14ac:dyDescent="0.3">
      <c r="A89" s="350">
        <v>43459</v>
      </c>
      <c r="B89" s="357">
        <f t="shared" si="13"/>
        <v>278.58507799656701</v>
      </c>
      <c r="C89" s="371">
        <f>C90+27.5</f>
        <v>1920</v>
      </c>
      <c r="D89" s="357">
        <f t="shared" si="14"/>
        <v>238.10690427057011</v>
      </c>
      <c r="E89" s="1" t="s">
        <v>1024</v>
      </c>
      <c r="F89" s="1">
        <f>USD_CNY!B1008</f>
        <v>6.8919699999999997</v>
      </c>
      <c r="G89" s="361">
        <f t="shared" si="27"/>
        <v>-66</v>
      </c>
    </row>
    <row r="90" spans="1:7" x14ac:dyDescent="0.3">
      <c r="A90" s="350">
        <v>43460</v>
      </c>
      <c r="B90" s="357">
        <f t="shared" si="13"/>
        <v>273.52218528689116</v>
      </c>
      <c r="C90" s="371">
        <v>1892.5</v>
      </c>
      <c r="D90" s="357">
        <f t="shared" si="14"/>
        <v>233.77964554435144</v>
      </c>
      <c r="E90" s="1" t="s">
        <v>1024</v>
      </c>
      <c r="F90" s="1">
        <f>USD_CNY!B1009</f>
        <v>6.9189999999999996</v>
      </c>
      <c r="G90" s="361">
        <f t="shared" ref="G90" si="28">C90-C89</f>
        <v>-27.5</v>
      </c>
    </row>
    <row r="91" spans="1:7" x14ac:dyDescent="0.3">
      <c r="A91" s="350">
        <v>43461</v>
      </c>
      <c r="B91" s="357">
        <f t="shared" si="13"/>
        <v>277.26258166946758</v>
      </c>
      <c r="C91" s="371">
        <f>C92+9.5</f>
        <v>1910.5</v>
      </c>
      <c r="D91" s="357">
        <f t="shared" si="14"/>
        <v>236.97656552945949</v>
      </c>
      <c r="E91" s="1" t="s">
        <v>1024</v>
      </c>
      <c r="F91" s="1">
        <f>USD_CNY!B1010</f>
        <v>6.8905799999999999</v>
      </c>
      <c r="G91" s="361">
        <f t="shared" ref="G91:G92" si="29">C91-C90</f>
        <v>18</v>
      </c>
    </row>
    <row r="92" spans="1:7" x14ac:dyDescent="0.3">
      <c r="A92" s="350">
        <v>43462</v>
      </c>
      <c r="B92" s="357">
        <f t="shared" si="13"/>
        <v>276.6503334793473</v>
      </c>
      <c r="C92" s="371">
        <v>1901</v>
      </c>
      <c r="D92" s="357">
        <f t="shared" si="14"/>
        <v>236.45327647807463</v>
      </c>
      <c r="E92" s="1" t="s">
        <v>1024</v>
      </c>
      <c r="F92" s="1">
        <f>USD_CNY!B1011</f>
        <v>6.8714899999999997</v>
      </c>
      <c r="G92" s="361">
        <f t="shared" si="29"/>
        <v>-9.5</v>
      </c>
    </row>
    <row r="93" spans="1:7" x14ac:dyDescent="0.3">
      <c r="A93" s="350">
        <v>43467</v>
      </c>
      <c r="B93" s="357">
        <f t="shared" si="13"/>
        <v>273.18784667122827</v>
      </c>
      <c r="C93" s="371">
        <v>1876.5</v>
      </c>
      <c r="D93" s="357">
        <f t="shared" si="14"/>
        <v>233.49388604378487</v>
      </c>
      <c r="E93" s="1" t="s">
        <v>1024</v>
      </c>
      <c r="F93" s="1">
        <f>USD_CNY!B1012</f>
        <v>6.8689</v>
      </c>
      <c r="G93" s="361">
        <f t="shared" ref="G93:G95" si="30">C93-C92</f>
        <v>-24.5</v>
      </c>
    </row>
    <row r="94" spans="1:7" x14ac:dyDescent="0.3">
      <c r="A94" s="350">
        <v>43468</v>
      </c>
      <c r="B94" s="357">
        <f t="shared" si="13"/>
        <v>279.45960961463226</v>
      </c>
      <c r="C94" s="371">
        <v>1921.5</v>
      </c>
      <c r="D94" s="357">
        <f t="shared" si="14"/>
        <v>238.85436719199339</v>
      </c>
      <c r="E94" s="1" t="s">
        <v>1024</v>
      </c>
      <c r="F94" s="1">
        <f>USD_CNY!B1013</f>
        <v>6.8757700000000002</v>
      </c>
      <c r="G94" s="361">
        <f t="shared" si="30"/>
        <v>45</v>
      </c>
    </row>
    <row r="95" spans="1:7" x14ac:dyDescent="0.3">
      <c r="A95" s="350">
        <v>43469</v>
      </c>
      <c r="B95" s="357">
        <f t="shared" si="13"/>
        <v>282.26404558106253</v>
      </c>
      <c r="C95" s="371">
        <v>1941</v>
      </c>
      <c r="D95" s="357">
        <f t="shared" si="14"/>
        <v>241.25132100945518</v>
      </c>
      <c r="E95" s="1" t="s">
        <v>1024</v>
      </c>
      <c r="F95" s="1">
        <f>USD_CNY!B1014</f>
        <v>6.8765400000000003</v>
      </c>
      <c r="G95" s="361">
        <f t="shared" si="30"/>
        <v>19.5</v>
      </c>
    </row>
    <row r="96" spans="1:7" x14ac:dyDescent="0.3">
      <c r="A96" s="350">
        <v>43472</v>
      </c>
      <c r="B96" s="357">
        <f t="shared" si="13"/>
        <v>284.52299784968795</v>
      </c>
      <c r="C96" s="371">
        <f>C97+4</f>
        <v>1953</v>
      </c>
      <c r="D96" s="357">
        <f t="shared" si="14"/>
        <v>243.18204944417775</v>
      </c>
      <c r="E96" s="1" t="s">
        <v>1024</v>
      </c>
      <c r="F96" s="1">
        <f>USD_CNY!B1015</f>
        <v>6.8641199999999998</v>
      </c>
      <c r="G96" s="361">
        <f t="shared" ref="G96:G105" si="31">C96-C95</f>
        <v>12</v>
      </c>
    </row>
    <row r="97" spans="1:7" x14ac:dyDescent="0.3">
      <c r="A97" s="350">
        <v>43473</v>
      </c>
      <c r="B97" s="357">
        <f t="shared" si="13"/>
        <v>284.74003775106507</v>
      </c>
      <c r="C97" s="371">
        <v>1949</v>
      </c>
      <c r="D97" s="357">
        <f t="shared" si="14"/>
        <v>243.36755363338898</v>
      </c>
      <c r="E97" s="1" t="s">
        <v>1024</v>
      </c>
      <c r="F97" s="1">
        <f>USD_CNY!B1016</f>
        <v>6.8448399999999996</v>
      </c>
      <c r="G97" s="361">
        <f t="shared" si="31"/>
        <v>-4</v>
      </c>
    </row>
    <row r="98" spans="1:7" x14ac:dyDescent="0.3">
      <c r="A98" s="350">
        <v>43474</v>
      </c>
      <c r="B98" s="357">
        <f t="shared" si="13"/>
        <v>283.97192968119555</v>
      </c>
      <c r="C98" s="371">
        <v>1946</v>
      </c>
      <c r="D98" s="357">
        <f t="shared" si="14"/>
        <v>242.71105100956885</v>
      </c>
      <c r="E98" s="1" t="s">
        <v>1024</v>
      </c>
      <c r="F98" s="1">
        <f>USD_CNY!B1017</f>
        <v>6.8527899999999997</v>
      </c>
      <c r="G98" s="361">
        <f t="shared" si="31"/>
        <v>-3</v>
      </c>
    </row>
    <row r="99" spans="1:7" x14ac:dyDescent="0.3">
      <c r="A99" s="350">
        <v>43475</v>
      </c>
      <c r="B99" s="357">
        <f t="shared" si="13"/>
        <v>284.02542354217655</v>
      </c>
      <c r="C99" s="371">
        <v>1934.5</v>
      </c>
      <c r="D99" s="357">
        <f t="shared" si="14"/>
        <v>242.75677225827059</v>
      </c>
      <c r="E99" s="1" t="s">
        <v>1024</v>
      </c>
      <c r="F99" s="1">
        <f>USD_CNY!B1018</f>
        <v>6.8110099999999996</v>
      </c>
      <c r="G99" s="361">
        <f t="shared" si="31"/>
        <v>-11.5</v>
      </c>
    </row>
    <row r="100" spans="1:7" x14ac:dyDescent="0.3">
      <c r="A100" s="350">
        <v>43480</v>
      </c>
      <c r="B100" s="357">
        <f t="shared" si="13"/>
        <v>297.40117806950991</v>
      </c>
      <c r="C100" s="371">
        <f>C101-23.5</f>
        <v>2011</v>
      </c>
      <c r="D100" s="357">
        <f t="shared" si="14"/>
        <v>254.18904108505123</v>
      </c>
      <c r="E100" s="1" t="s">
        <v>1024</v>
      </c>
      <c r="F100" s="1">
        <f>USD_CNY!B1019</f>
        <v>6.7619100000000003</v>
      </c>
      <c r="G100" s="361">
        <f t="shared" si="31"/>
        <v>76.5</v>
      </c>
    </row>
    <row r="101" spans="1:7" x14ac:dyDescent="0.3">
      <c r="A101" s="350">
        <v>43481</v>
      </c>
      <c r="B101" s="357">
        <f t="shared" si="13"/>
        <v>300.39052983603654</v>
      </c>
      <c r="C101" s="371">
        <v>2034.5</v>
      </c>
      <c r="D101" s="357">
        <f t="shared" si="14"/>
        <v>256.74404259490302</v>
      </c>
      <c r="E101" s="1" t="s">
        <v>1024</v>
      </c>
      <c r="F101" s="1">
        <f>USD_CNY!B1020</f>
        <v>6.77285</v>
      </c>
      <c r="G101" s="361">
        <f t="shared" si="31"/>
        <v>23.5</v>
      </c>
    </row>
    <row r="102" spans="1:7" x14ac:dyDescent="0.3">
      <c r="A102" s="350">
        <v>43482</v>
      </c>
      <c r="B102" s="357">
        <f t="shared" si="13"/>
        <v>300.46601079961533</v>
      </c>
      <c r="C102" s="371">
        <v>2031</v>
      </c>
      <c r="D102" s="357">
        <f t="shared" si="14"/>
        <v>256.80855623898748</v>
      </c>
      <c r="E102" s="1" t="s">
        <v>1024</v>
      </c>
      <c r="F102" s="1">
        <f>USD_CNY!B1021</f>
        <v>6.7595000000000001</v>
      </c>
      <c r="G102" s="361">
        <f t="shared" si="31"/>
        <v>-3.5</v>
      </c>
    </row>
    <row r="103" spans="1:7" x14ac:dyDescent="0.3">
      <c r="A103" s="350">
        <v>43483</v>
      </c>
      <c r="B103" s="357">
        <f t="shared" si="13"/>
        <v>305.1062115019285</v>
      </c>
      <c r="C103" s="371">
        <v>2067</v>
      </c>
      <c r="D103" s="357">
        <f t="shared" si="14"/>
        <v>260.77453974523803</v>
      </c>
      <c r="E103" s="1" t="s">
        <v>1024</v>
      </c>
      <c r="F103" s="1">
        <f>USD_CNY!B1022</f>
        <v>6.7746899999999997</v>
      </c>
      <c r="G103" s="361">
        <f t="shared" si="31"/>
        <v>36</v>
      </c>
    </row>
    <row r="104" spans="1:7" x14ac:dyDescent="0.3">
      <c r="A104" s="350">
        <v>43486</v>
      </c>
      <c r="B104" s="357">
        <f t="shared" si="13"/>
        <v>301.63750273848331</v>
      </c>
      <c r="C104" s="371">
        <f>C105+32.5</f>
        <v>2051.5</v>
      </c>
      <c r="D104" s="357">
        <f t="shared" si="14"/>
        <v>257.80983140041309</v>
      </c>
      <c r="E104" s="1" t="s">
        <v>1024</v>
      </c>
      <c r="F104" s="1">
        <f>USD_CNY!B1023</f>
        <v>6.8012100000000002</v>
      </c>
      <c r="G104" s="361">
        <f t="shared" si="31"/>
        <v>-15.5</v>
      </c>
    </row>
    <row r="105" spans="1:7" x14ac:dyDescent="0.3">
      <c r="A105" s="350">
        <v>43487</v>
      </c>
      <c r="B105" s="357">
        <f t="shared" si="13"/>
        <v>296.92049766169595</v>
      </c>
      <c r="C105" s="371">
        <v>2019</v>
      </c>
      <c r="D105" s="357">
        <f t="shared" si="14"/>
        <v>253.77820312965468</v>
      </c>
      <c r="E105" s="1" t="s">
        <v>1024</v>
      </c>
      <c r="F105" s="1">
        <f>USD_CNY!B1024</f>
        <v>6.7998000000000003</v>
      </c>
      <c r="G105" s="361">
        <f t="shared" si="31"/>
        <v>-32.5</v>
      </c>
    </row>
    <row r="106" spans="1:7" x14ac:dyDescent="0.3">
      <c r="A106" s="350">
        <v>43488</v>
      </c>
    </row>
    <row r="107" spans="1:7" x14ac:dyDescent="0.3">
      <c r="A107" s="350">
        <v>43489</v>
      </c>
    </row>
    <row r="108" spans="1:7" x14ac:dyDescent="0.3">
      <c r="A108" s="350">
        <v>43490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workbookViewId="0">
      <pane xSplit="1" ySplit="5" topLeftCell="B96" activePane="bottomRight" state="frozen"/>
      <selection pane="topRight" activeCell="B1" sqref="B1"/>
      <selection pane="bottomLeft" activeCell="A6" sqref="A6"/>
      <selection pane="bottomRight" activeCell="E105" sqref="E105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3" width="9.08984375" style="1" bestFit="1" customWidth="1"/>
    <col min="4" max="16384" width="8.7265625" style="1"/>
  </cols>
  <sheetData>
    <row r="1" spans="1:7" x14ac:dyDescent="0.3">
      <c r="A1" s="356" t="s">
        <v>1027</v>
      </c>
    </row>
    <row r="3" spans="1:7" ht="42" x14ac:dyDescent="0.3">
      <c r="A3" s="362" t="s">
        <v>751</v>
      </c>
      <c r="B3" s="363" t="s">
        <v>1025</v>
      </c>
      <c r="C3" s="364"/>
      <c r="D3" s="363"/>
      <c r="E3" s="363" t="s">
        <v>1025</v>
      </c>
      <c r="F3" s="365" t="s">
        <v>753</v>
      </c>
    </row>
    <row r="4" spans="1:7" ht="56" x14ac:dyDescent="0.3">
      <c r="A4" s="362" t="s">
        <v>21</v>
      </c>
      <c r="B4" s="363" t="s">
        <v>1026</v>
      </c>
      <c r="C4" s="363" t="s">
        <v>1026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37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37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37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37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37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37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37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37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37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37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37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37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37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37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37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37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37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37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37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37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37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37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37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37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37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107" si="14">+IF(F54=0,"",C54/F54)</f>
        <v>672.94171664705709</v>
      </c>
      <c r="C54" s="335">
        <v>4690</v>
      </c>
      <c r="D54" s="358">
        <f t="shared" ref="D54:D107" si="15">+IF(ISERROR(B54/1.17),0,B54/1.17)</f>
        <v>575.1638603821001</v>
      </c>
      <c r="E54" s="37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37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37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37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>
        <f t="shared" si="14"/>
        <v>676.56550746031053</v>
      </c>
      <c r="C58" s="335">
        <v>4675</v>
      </c>
      <c r="D58" s="357">
        <f t="shared" si="15"/>
        <v>578.26111748744495</v>
      </c>
      <c r="E58" s="371">
        <v>524.5</v>
      </c>
      <c r="F58" s="359">
        <f>USD_CNY!B977</f>
        <v>6.9099000000000004</v>
      </c>
      <c r="G58" s="361">
        <f t="shared" si="18"/>
        <v>-35</v>
      </c>
    </row>
    <row r="59" spans="1:7" x14ac:dyDescent="0.3">
      <c r="A59" s="350">
        <v>43411</v>
      </c>
      <c r="B59" s="357">
        <f t="shared" si="14"/>
        <v>667.54999039132599</v>
      </c>
      <c r="C59" s="335">
        <f>C60+80</f>
        <v>4620</v>
      </c>
      <c r="D59" s="357">
        <f t="shared" si="15"/>
        <v>570.5555473430137</v>
      </c>
      <c r="E59" s="371">
        <v>516.5</v>
      </c>
      <c r="F59" s="359">
        <f>USD_CNY!B978</f>
        <v>6.9208299999999996</v>
      </c>
      <c r="G59" s="361">
        <f t="shared" si="18"/>
        <v>-55</v>
      </c>
    </row>
    <row r="60" spans="1:7" x14ac:dyDescent="0.3">
      <c r="A60" s="350">
        <v>43412</v>
      </c>
      <c r="B60" s="357">
        <f t="shared" si="14"/>
        <v>656.32829136350028</v>
      </c>
      <c r="C60" s="335">
        <v>4540</v>
      </c>
      <c r="D60" s="357">
        <f t="shared" si="15"/>
        <v>560.96435159273528</v>
      </c>
      <c r="E60" s="371">
        <v>516.5</v>
      </c>
      <c r="F60" s="359">
        <f>USD_CNY!B979</f>
        <v>6.9172700000000003</v>
      </c>
      <c r="G60" s="361">
        <f t="shared" si="18"/>
        <v>-80</v>
      </c>
    </row>
    <row r="61" spans="1:7" x14ac:dyDescent="0.3">
      <c r="A61" s="350">
        <v>43413</v>
      </c>
      <c r="B61" s="357">
        <f t="shared" si="14"/>
        <v>653.51291983526869</v>
      </c>
      <c r="C61" s="335">
        <v>4540</v>
      </c>
      <c r="D61" s="357">
        <f t="shared" si="15"/>
        <v>558.55805114125531</v>
      </c>
      <c r="E61" s="371">
        <v>516.5</v>
      </c>
      <c r="F61" s="359">
        <f>USD_CNY!B980</f>
        <v>6.9470700000000001</v>
      </c>
      <c r="G61" s="361">
        <f t="shared" si="18"/>
        <v>0</v>
      </c>
    </row>
    <row r="62" spans="1:7" x14ac:dyDescent="0.3">
      <c r="A62" s="350">
        <v>43416</v>
      </c>
      <c r="B62" s="357">
        <f t="shared" si="14"/>
        <v>636.95917847380258</v>
      </c>
      <c r="C62" s="335">
        <v>4425</v>
      </c>
      <c r="D62" s="357">
        <f t="shared" si="15"/>
        <v>544.40955425111338</v>
      </c>
      <c r="E62" s="371">
        <v>516.5</v>
      </c>
      <c r="F62" s="359">
        <f>USD_CNY!B981</f>
        <v>6.9470700000000001</v>
      </c>
      <c r="G62" s="361">
        <f t="shared" ref="G62:G63" si="19">C62-C61</f>
        <v>-115</v>
      </c>
    </row>
    <row r="63" spans="1:7" x14ac:dyDescent="0.3">
      <c r="A63" s="350">
        <v>43417</v>
      </c>
      <c r="B63" s="357">
        <f t="shared" si="14"/>
        <v>635.70553257757399</v>
      </c>
      <c r="C63" s="335">
        <v>4425</v>
      </c>
      <c r="D63" s="357">
        <f t="shared" si="15"/>
        <v>543.33806203211452</v>
      </c>
      <c r="E63" s="371">
        <v>508</v>
      </c>
      <c r="F63" s="359">
        <f>USD_CNY!B982</f>
        <v>6.9607700000000001</v>
      </c>
      <c r="G63" s="361">
        <f t="shared" si="19"/>
        <v>0</v>
      </c>
    </row>
    <row r="64" spans="1:7" x14ac:dyDescent="0.3">
      <c r="A64" s="350">
        <v>43418</v>
      </c>
      <c r="B64" s="357">
        <f t="shared" si="14"/>
        <v>634.93617523662533</v>
      </c>
      <c r="C64" s="335">
        <v>4410</v>
      </c>
      <c r="D64" s="357">
        <f t="shared" si="15"/>
        <v>542.68049165523541</v>
      </c>
      <c r="E64" s="371">
        <v>504</v>
      </c>
      <c r="F64" s="359">
        <f>USD_CNY!B983</f>
        <v>6.9455799999999996</v>
      </c>
      <c r="G64" s="361">
        <f t="shared" ref="G64:G66" si="20">C64-C63</f>
        <v>-15</v>
      </c>
    </row>
    <row r="65" spans="1:7" x14ac:dyDescent="0.3">
      <c r="A65" s="350">
        <v>43419</v>
      </c>
      <c r="B65" s="357">
        <f t="shared" si="14"/>
        <v>635.21877597230957</v>
      </c>
      <c r="C65" s="335">
        <v>4410</v>
      </c>
      <c r="D65" s="357">
        <f t="shared" si="15"/>
        <v>542.9220307455638</v>
      </c>
      <c r="E65" s="371">
        <v>506</v>
      </c>
      <c r="F65" s="359">
        <f>USD_CNY!B984</f>
        <v>6.9424900000000003</v>
      </c>
      <c r="G65" s="361">
        <f t="shared" si="20"/>
        <v>0</v>
      </c>
    </row>
    <row r="66" spans="1:7" x14ac:dyDescent="0.3">
      <c r="A66" s="350">
        <v>43423</v>
      </c>
      <c r="B66" s="357">
        <f t="shared" si="14"/>
        <v>617.9004681589746</v>
      </c>
      <c r="C66" s="335">
        <f>C67+150</f>
        <v>4275</v>
      </c>
      <c r="D66" s="357">
        <f t="shared" si="15"/>
        <v>528.12005825553388</v>
      </c>
      <c r="E66" s="371"/>
      <c r="F66" s="359">
        <f>USD_CNY!B986</f>
        <v>6.91859</v>
      </c>
      <c r="G66" s="361">
        <f t="shared" si="20"/>
        <v>-135</v>
      </c>
    </row>
    <row r="67" spans="1:7" x14ac:dyDescent="0.3">
      <c r="A67" s="350">
        <v>43424</v>
      </c>
      <c r="B67" s="357">
        <f t="shared" si="14"/>
        <v>595.04318210340909</v>
      </c>
      <c r="C67" s="335">
        <v>4125</v>
      </c>
      <c r="D67" s="357">
        <f t="shared" si="15"/>
        <v>508.58391632770014</v>
      </c>
      <c r="E67" s="371">
        <v>490</v>
      </c>
      <c r="F67" s="359">
        <f>USD_CNY!B987</f>
        <v>6.9322699999999999</v>
      </c>
      <c r="G67" s="361">
        <f t="shared" ref="G67" si="21">C67-C66</f>
        <v>-150</v>
      </c>
    </row>
    <row r="68" spans="1:7" x14ac:dyDescent="0.3">
      <c r="A68" s="350">
        <v>43425</v>
      </c>
      <c r="B68" s="357">
        <f t="shared" si="14"/>
        <v>579.63709677419354</v>
      </c>
      <c r="C68" s="335">
        <v>4025</v>
      </c>
      <c r="D68" s="357">
        <f t="shared" si="15"/>
        <v>495.41632202922528</v>
      </c>
      <c r="E68" s="371">
        <v>487</v>
      </c>
      <c r="F68" s="359">
        <f>USD_CNY!B988</f>
        <v>6.944</v>
      </c>
      <c r="G68" s="361">
        <f t="shared" ref="G68:G71" si="22">C68-C67</f>
        <v>-100</v>
      </c>
    </row>
    <row r="69" spans="1:7" x14ac:dyDescent="0.3">
      <c r="A69" s="350">
        <v>43426</v>
      </c>
      <c r="B69" s="357">
        <f t="shared" si="14"/>
        <v>577.16034222213227</v>
      </c>
      <c r="C69" s="335">
        <v>3995</v>
      </c>
      <c r="D69" s="357">
        <f t="shared" si="15"/>
        <v>493.29943779669429</v>
      </c>
      <c r="E69" s="371">
        <v>488</v>
      </c>
      <c r="F69" s="359">
        <f>USD_CNY!B989</f>
        <v>6.9218200000000003</v>
      </c>
      <c r="G69" s="361">
        <f t="shared" si="22"/>
        <v>-30</v>
      </c>
    </row>
    <row r="70" spans="1:7" x14ac:dyDescent="0.3">
      <c r="A70" s="350">
        <v>43427</v>
      </c>
      <c r="B70" s="357">
        <f t="shared" si="14"/>
        <v>577.16034222213227</v>
      </c>
      <c r="C70" s="335">
        <v>3995</v>
      </c>
      <c r="D70" s="357">
        <f t="shared" si="15"/>
        <v>493.29943779669429</v>
      </c>
      <c r="E70" s="371">
        <v>471</v>
      </c>
      <c r="F70" s="359">
        <f>USD_CNY!B990</f>
        <v>6.9218200000000003</v>
      </c>
      <c r="G70" s="361">
        <f t="shared" si="22"/>
        <v>0</v>
      </c>
    </row>
    <row r="71" spans="1:7" x14ac:dyDescent="0.3">
      <c r="A71" s="350">
        <v>43430</v>
      </c>
      <c r="B71" s="357">
        <f t="shared" si="14"/>
        <v>556.85624752368255</v>
      </c>
      <c r="C71" s="335">
        <f>C72+65</f>
        <v>3865</v>
      </c>
      <c r="D71" s="357">
        <f t="shared" si="15"/>
        <v>475.94551070400223</v>
      </c>
      <c r="E71" s="371">
        <v>471</v>
      </c>
      <c r="F71" s="359">
        <f>USD_CNY!B991</f>
        <v>6.9407500000000004</v>
      </c>
      <c r="G71" s="361">
        <f t="shared" si="22"/>
        <v>-130</v>
      </c>
    </row>
    <row r="72" spans="1:7" x14ac:dyDescent="0.3">
      <c r="A72" s="350">
        <v>43431</v>
      </c>
      <c r="B72" s="357">
        <f t="shared" si="14"/>
        <v>546.76573678121895</v>
      </c>
      <c r="C72" s="335">
        <v>3800</v>
      </c>
      <c r="D72" s="357">
        <f t="shared" si="15"/>
        <v>467.32114254805043</v>
      </c>
      <c r="E72" s="371">
        <v>469</v>
      </c>
      <c r="F72" s="359">
        <f>USD_CNY!B992</f>
        <v>6.9499599999999999</v>
      </c>
      <c r="G72" s="361">
        <f t="shared" ref="G72:G75" si="23">C72-C71</f>
        <v>-65</v>
      </c>
    </row>
    <row r="73" spans="1:7" x14ac:dyDescent="0.3">
      <c r="A73" s="350">
        <v>43432</v>
      </c>
      <c r="B73" s="357">
        <f t="shared" si="14"/>
        <v>546.72325731961735</v>
      </c>
      <c r="C73" s="335">
        <v>3800</v>
      </c>
      <c r="D73" s="357">
        <f t="shared" si="15"/>
        <v>467.28483531591229</v>
      </c>
      <c r="E73" s="371">
        <v>471</v>
      </c>
      <c r="F73" s="359">
        <f>USD_CNY!B993</f>
        <v>6.9504999999999999</v>
      </c>
      <c r="G73" s="361">
        <f t="shared" si="23"/>
        <v>0</v>
      </c>
    </row>
    <row r="74" spans="1:7" x14ac:dyDescent="0.3">
      <c r="A74" s="350">
        <v>43433</v>
      </c>
      <c r="B74" s="357">
        <f t="shared" si="14"/>
        <v>555.62842223147868</v>
      </c>
      <c r="C74" s="335">
        <v>3855</v>
      </c>
      <c r="D74" s="357">
        <f t="shared" si="15"/>
        <v>474.89608737733221</v>
      </c>
      <c r="E74" s="371">
        <v>471</v>
      </c>
      <c r="F74" s="359">
        <f>USD_CNY!B994</f>
        <v>6.9380899999999999</v>
      </c>
      <c r="G74" s="361">
        <f t="shared" si="23"/>
        <v>55</v>
      </c>
    </row>
    <row r="75" spans="1:7" x14ac:dyDescent="0.3">
      <c r="A75" s="350">
        <v>43434</v>
      </c>
      <c r="B75" s="357">
        <f t="shared" si="14"/>
        <v>555.89603085907925</v>
      </c>
      <c r="C75" s="335">
        <v>3855</v>
      </c>
      <c r="D75" s="357">
        <f t="shared" si="15"/>
        <v>475.12481270006776</v>
      </c>
      <c r="E75" s="371">
        <v>472</v>
      </c>
      <c r="F75" s="359">
        <f>USD_CNY!B995</f>
        <v>6.9347500000000002</v>
      </c>
      <c r="G75" s="361">
        <f t="shared" si="23"/>
        <v>0</v>
      </c>
    </row>
    <row r="76" spans="1:7" x14ac:dyDescent="0.3">
      <c r="A76" s="350">
        <v>43437</v>
      </c>
      <c r="B76" s="357">
        <f t="shared" si="14"/>
        <v>576.06767674869434</v>
      </c>
      <c r="C76" s="335">
        <v>3985</v>
      </c>
      <c r="D76" s="357">
        <f t="shared" si="15"/>
        <v>492.36553568264475</v>
      </c>
      <c r="E76" s="371">
        <v>461</v>
      </c>
      <c r="F76" s="359">
        <f>USD_CNY!B996</f>
        <v>6.9175899999999997</v>
      </c>
      <c r="G76" s="361">
        <f t="shared" ref="G76:G82" si="24">C76-C75</f>
        <v>130</v>
      </c>
    </row>
    <row r="77" spans="1:7" x14ac:dyDescent="0.3">
      <c r="A77" s="350">
        <v>43438</v>
      </c>
      <c r="B77" s="357">
        <f t="shared" si="14"/>
        <v>577.67553260374518</v>
      </c>
      <c r="C77" s="335">
        <v>3970</v>
      </c>
      <c r="D77" s="357">
        <f t="shared" si="15"/>
        <v>493.7397714561925</v>
      </c>
      <c r="E77" s="371">
        <v>458</v>
      </c>
      <c r="F77" s="359">
        <f>USD_CNY!B997</f>
        <v>6.8723700000000001</v>
      </c>
      <c r="G77" s="361">
        <f t="shared" si="24"/>
        <v>-15</v>
      </c>
    </row>
    <row r="78" spans="1:7" x14ac:dyDescent="0.3">
      <c r="A78" s="350">
        <v>43439</v>
      </c>
      <c r="B78" s="357">
        <f t="shared" si="14"/>
        <v>575.3412255352207</v>
      </c>
      <c r="C78" s="335">
        <v>3940</v>
      </c>
      <c r="D78" s="357">
        <f t="shared" si="15"/>
        <v>491.74463720959039</v>
      </c>
      <c r="E78" s="371">
        <v>462</v>
      </c>
      <c r="F78" s="359">
        <f>USD_CNY!B998</f>
        <v>6.8481100000000001</v>
      </c>
      <c r="G78" s="361">
        <f t="shared" si="24"/>
        <v>-30</v>
      </c>
    </row>
    <row r="79" spans="1:7" x14ac:dyDescent="0.3">
      <c r="A79" s="350">
        <v>43440</v>
      </c>
      <c r="B79" s="357">
        <f t="shared" si="14"/>
        <v>570.24516166669093</v>
      </c>
      <c r="C79" s="335">
        <v>3910</v>
      </c>
      <c r="D79" s="357">
        <f t="shared" si="15"/>
        <v>487.38902706554785</v>
      </c>
      <c r="E79" s="371">
        <v>456</v>
      </c>
      <c r="F79" s="359">
        <f>USD_CNY!B999</f>
        <v>6.8567</v>
      </c>
      <c r="G79" s="361">
        <f t="shared" si="24"/>
        <v>-30</v>
      </c>
    </row>
    <row r="80" spans="1:7" x14ac:dyDescent="0.3">
      <c r="A80" s="350">
        <v>43445</v>
      </c>
      <c r="B80" s="357">
        <f t="shared" si="14"/>
        <v>554.21543786637187</v>
      </c>
      <c r="C80" s="335">
        <v>3830</v>
      </c>
      <c r="D80" s="357">
        <f t="shared" si="15"/>
        <v>473.68840843279651</v>
      </c>
      <c r="E80" s="371">
        <v>467</v>
      </c>
      <c r="F80" s="359">
        <f>USD_CNY!B1000</f>
        <v>6.9106699999999996</v>
      </c>
      <c r="G80" s="361">
        <f t="shared" si="24"/>
        <v>-80</v>
      </c>
    </row>
    <row r="81" spans="1:7" x14ac:dyDescent="0.3">
      <c r="A81" s="350">
        <v>43446</v>
      </c>
      <c r="B81" s="357">
        <f t="shared" si="14"/>
        <v>554.83846667564831</v>
      </c>
      <c r="C81" s="335">
        <f>C82-25</f>
        <v>3830</v>
      </c>
      <c r="D81" s="357">
        <f t="shared" si="15"/>
        <v>474.22091168858833</v>
      </c>
      <c r="E81" s="371">
        <v>467</v>
      </c>
      <c r="F81" s="359">
        <f>USD_CNY!B1001</f>
        <v>6.9029100000000003</v>
      </c>
      <c r="G81" s="361">
        <f t="shared" si="24"/>
        <v>0</v>
      </c>
    </row>
    <row r="82" spans="1:7" x14ac:dyDescent="0.3">
      <c r="A82" s="350">
        <v>43447</v>
      </c>
      <c r="B82" s="357">
        <f t="shared" si="14"/>
        <v>561.34046063408903</v>
      </c>
      <c r="C82" s="335">
        <v>3855</v>
      </c>
      <c r="D82" s="357">
        <f t="shared" si="15"/>
        <v>479.77817148212739</v>
      </c>
      <c r="E82" s="371">
        <v>470</v>
      </c>
      <c r="F82" s="359">
        <f>USD_CNY!B1002</f>
        <v>6.8674900000000001</v>
      </c>
      <c r="G82" s="361">
        <f t="shared" si="24"/>
        <v>25</v>
      </c>
    </row>
    <row r="83" spans="1:7" x14ac:dyDescent="0.3">
      <c r="A83" s="350">
        <v>43448</v>
      </c>
      <c r="B83" s="357">
        <f t="shared" si="14"/>
        <v>564.22165767741353</v>
      </c>
      <c r="C83" s="335">
        <v>3880</v>
      </c>
      <c r="D83" s="357">
        <f t="shared" si="15"/>
        <v>482.24073305761846</v>
      </c>
      <c r="E83" s="371">
        <v>471</v>
      </c>
      <c r="F83" s="359">
        <f>USD_CNY!B1003</f>
        <v>6.8767300000000002</v>
      </c>
      <c r="G83" s="361">
        <f t="shared" ref="G83" si="25">C83-C82</f>
        <v>25</v>
      </c>
    </row>
    <row r="84" spans="1:7" x14ac:dyDescent="0.3">
      <c r="A84" s="350">
        <v>43451</v>
      </c>
      <c r="B84" s="357">
        <f t="shared" si="14"/>
        <v>563.83430518655086</v>
      </c>
      <c r="C84" s="335">
        <v>3890</v>
      </c>
      <c r="D84" s="357">
        <f t="shared" si="15"/>
        <v>481.90966255260759</v>
      </c>
      <c r="E84" s="371">
        <v>470</v>
      </c>
      <c r="F84" s="359">
        <f>USD_CNY!B1004</f>
        <v>6.8991899999999999</v>
      </c>
      <c r="G84" s="361">
        <f t="shared" ref="G84:G88" si="26">C84-C83</f>
        <v>10</v>
      </c>
    </row>
    <row r="85" spans="1:7" x14ac:dyDescent="0.3">
      <c r="A85" s="350">
        <v>43452</v>
      </c>
      <c r="B85" s="357">
        <f t="shared" si="14"/>
        <v>563.78364041908401</v>
      </c>
      <c r="C85" s="335">
        <f>C86+10</f>
        <v>3890</v>
      </c>
      <c r="D85" s="357">
        <f t="shared" si="15"/>
        <v>481.86635933255047</v>
      </c>
      <c r="E85" s="371"/>
      <c r="F85" s="359">
        <f>USD_CNY!B1005</f>
        <v>6.8998100000000004</v>
      </c>
      <c r="G85" s="361">
        <f t="shared" si="26"/>
        <v>0</v>
      </c>
    </row>
    <row r="86" spans="1:7" x14ac:dyDescent="0.3">
      <c r="A86" s="350">
        <v>43453</v>
      </c>
      <c r="B86" s="357">
        <f t="shared" si="14"/>
        <v>563.60778708408509</v>
      </c>
      <c r="C86" s="335">
        <v>3880</v>
      </c>
      <c r="D86" s="357">
        <f t="shared" si="15"/>
        <v>481.71605733682492</v>
      </c>
      <c r="E86" s="371">
        <v>465.5</v>
      </c>
      <c r="F86" s="359">
        <f>USD_CNY!B1006</f>
        <v>6.88422</v>
      </c>
      <c r="G86" s="361">
        <f t="shared" si="26"/>
        <v>-10</v>
      </c>
    </row>
    <row r="87" spans="1:7" x14ac:dyDescent="0.3">
      <c r="A87" s="350">
        <v>43454</v>
      </c>
      <c r="B87" s="357">
        <f t="shared" si="14"/>
        <v>561.9816515887569</v>
      </c>
      <c r="C87" s="335">
        <v>3880</v>
      </c>
      <c r="D87" s="357">
        <f t="shared" si="15"/>
        <v>480.32619793910851</v>
      </c>
      <c r="E87" s="371">
        <v>464</v>
      </c>
      <c r="F87" s="359">
        <f>USD_CNY!B1007</f>
        <v>6.9041399999999999</v>
      </c>
      <c r="G87" s="361">
        <f t="shared" si="26"/>
        <v>0</v>
      </c>
    </row>
    <row r="88" spans="1:7" x14ac:dyDescent="0.3">
      <c r="A88" s="350">
        <v>43459</v>
      </c>
      <c r="B88" s="357">
        <f t="shared" si="14"/>
        <v>563.69949375867861</v>
      </c>
      <c r="C88" s="335">
        <f>C89+35</f>
        <v>3885</v>
      </c>
      <c r="D88" s="357">
        <f t="shared" si="15"/>
        <v>481.79443910998174</v>
      </c>
      <c r="E88" s="371"/>
      <c r="F88" s="359">
        <f>USD_CNY!B1008</f>
        <v>6.8919699999999997</v>
      </c>
      <c r="G88" s="361">
        <f t="shared" si="26"/>
        <v>5</v>
      </c>
    </row>
    <row r="89" spans="1:7" x14ac:dyDescent="0.3">
      <c r="A89" s="350">
        <v>43460</v>
      </c>
      <c r="B89" s="357">
        <f t="shared" si="14"/>
        <v>556.43879173290941</v>
      </c>
      <c r="C89" s="335">
        <v>3850</v>
      </c>
      <c r="D89" s="357">
        <f t="shared" si="15"/>
        <v>475.58871088282859</v>
      </c>
      <c r="E89" s="371">
        <v>453</v>
      </c>
      <c r="F89" s="359">
        <f>USD_CNY!B1009</f>
        <v>6.9189999999999996</v>
      </c>
      <c r="G89" s="361">
        <f t="shared" ref="G89" si="27">C89-C88</f>
        <v>-35</v>
      </c>
    </row>
    <row r="90" spans="1:7" x14ac:dyDescent="0.3">
      <c r="A90" s="350">
        <v>43461</v>
      </c>
      <c r="B90" s="357">
        <f t="shared" si="14"/>
        <v>558.73380760400437</v>
      </c>
      <c r="C90" s="335">
        <v>3850</v>
      </c>
      <c r="D90" s="357">
        <f t="shared" si="15"/>
        <v>477.55026290940549</v>
      </c>
      <c r="E90" s="371"/>
      <c r="F90" s="359">
        <f>USD_CNY!B1010</f>
        <v>6.8905799999999999</v>
      </c>
      <c r="G90" s="361">
        <f t="shared" ref="G90:G91" si="28">C90-C89</f>
        <v>0</v>
      </c>
    </row>
    <row r="91" spans="1:7" x14ac:dyDescent="0.3">
      <c r="A91" s="350">
        <v>43462</v>
      </c>
      <c r="B91" s="357">
        <f t="shared" si="14"/>
        <v>560.28605149683699</v>
      </c>
      <c r="C91" s="335">
        <v>3850</v>
      </c>
      <c r="D91" s="357">
        <f t="shared" si="15"/>
        <v>478.8769670913137</v>
      </c>
      <c r="E91" s="371">
        <v>451</v>
      </c>
      <c r="F91" s="359">
        <f>USD_CNY!B1011</f>
        <v>6.8714899999999997</v>
      </c>
      <c r="G91" s="361">
        <f t="shared" si="28"/>
        <v>0</v>
      </c>
    </row>
    <row r="92" spans="1:7" x14ac:dyDescent="0.3">
      <c r="A92" s="350">
        <v>43467</v>
      </c>
      <c r="B92" s="357">
        <f t="shared" si="14"/>
        <v>560.49731398040444</v>
      </c>
      <c r="C92" s="335">
        <v>3850</v>
      </c>
      <c r="D92" s="357">
        <f t="shared" si="15"/>
        <v>479.05753331658502</v>
      </c>
      <c r="E92" s="371">
        <v>451</v>
      </c>
      <c r="F92" s="359">
        <f>USD_CNY!B1012</f>
        <v>6.8689</v>
      </c>
      <c r="G92" s="361">
        <f t="shared" ref="G92:G97" si="29">C92-C91</f>
        <v>0</v>
      </c>
    </row>
    <row r="93" spans="1:7" x14ac:dyDescent="0.3">
      <c r="A93" s="350">
        <v>43468</v>
      </c>
      <c r="B93" s="357">
        <f t="shared" si="14"/>
        <v>557.02852189645671</v>
      </c>
      <c r="C93" s="335">
        <v>3830</v>
      </c>
      <c r="D93" s="357">
        <f t="shared" si="15"/>
        <v>476.09275375765532</v>
      </c>
      <c r="E93" s="371">
        <v>453</v>
      </c>
      <c r="F93" s="359">
        <f>USD_CNY!B1013</f>
        <v>6.8757700000000002</v>
      </c>
      <c r="G93" s="361">
        <f t="shared" si="29"/>
        <v>-20</v>
      </c>
    </row>
    <row r="94" spans="1:7" x14ac:dyDescent="0.3">
      <c r="A94" s="350">
        <v>43469</v>
      </c>
      <c r="B94" s="357">
        <f t="shared" si="14"/>
        <v>555.51192896427563</v>
      </c>
      <c r="C94" s="335">
        <v>3820</v>
      </c>
      <c r="D94" s="357">
        <f t="shared" si="15"/>
        <v>474.79652048228689</v>
      </c>
      <c r="E94" s="371">
        <v>455</v>
      </c>
      <c r="F94" s="359">
        <f>USD_CNY!B1014</f>
        <v>6.8765400000000003</v>
      </c>
      <c r="G94" s="361">
        <f t="shared" si="29"/>
        <v>-10</v>
      </c>
    </row>
    <row r="95" spans="1:7" x14ac:dyDescent="0.3">
      <c r="A95" s="350">
        <v>43472</v>
      </c>
      <c r="B95" s="357">
        <f t="shared" si="14"/>
        <v>556.51707720727495</v>
      </c>
      <c r="C95" s="335">
        <f>C96-15</f>
        <v>3820</v>
      </c>
      <c r="D95" s="357">
        <f t="shared" si="15"/>
        <v>475.65562154467949</v>
      </c>
      <c r="E95" s="371"/>
      <c r="F95" s="359">
        <f>USD_CNY!B1015</f>
        <v>6.8641199999999998</v>
      </c>
      <c r="G95" s="361">
        <f t="shared" si="29"/>
        <v>0</v>
      </c>
    </row>
    <row r="96" spans="1:7" x14ac:dyDescent="0.3">
      <c r="A96" s="350">
        <v>43473</v>
      </c>
      <c r="B96" s="357">
        <f t="shared" si="14"/>
        <v>560.27606196784734</v>
      </c>
      <c r="C96" s="335">
        <v>3835</v>
      </c>
      <c r="D96" s="357">
        <f t="shared" si="15"/>
        <v>478.86842903234816</v>
      </c>
      <c r="E96" s="371">
        <v>452</v>
      </c>
      <c r="F96" s="359">
        <f>USD_CNY!B1016</f>
        <v>6.8448399999999996</v>
      </c>
      <c r="G96" s="361">
        <f t="shared" si="29"/>
        <v>15</v>
      </c>
    </row>
    <row r="97" spans="1:7" x14ac:dyDescent="0.3">
      <c r="A97" s="350">
        <v>43474</v>
      </c>
      <c r="B97" s="357">
        <f t="shared" si="14"/>
        <v>558.16681964572092</v>
      </c>
      <c r="C97" s="335">
        <v>3825</v>
      </c>
      <c r="D97" s="357">
        <f t="shared" si="15"/>
        <v>477.06565781685549</v>
      </c>
      <c r="E97" s="371">
        <v>461.5</v>
      </c>
      <c r="F97" s="359">
        <f>USD_CNY!B1017</f>
        <v>6.8527899999999997</v>
      </c>
      <c r="G97" s="361">
        <f t="shared" si="29"/>
        <v>-10</v>
      </c>
    </row>
    <row r="98" spans="1:7" x14ac:dyDescent="0.3">
      <c r="A98" s="350">
        <v>43475</v>
      </c>
      <c r="B98" s="357">
        <f t="shared" si="14"/>
        <v>561.59071855715968</v>
      </c>
      <c r="C98" s="335">
        <v>3825</v>
      </c>
      <c r="D98" s="357">
        <f t="shared" si="15"/>
        <v>479.99206714287152</v>
      </c>
      <c r="E98" s="371">
        <v>460</v>
      </c>
      <c r="F98" s="359">
        <f>USD_CNY!B1018</f>
        <v>6.8110099999999996</v>
      </c>
      <c r="G98" s="361">
        <f t="shared" ref="G98:G103" si="30">C98-C97</f>
        <v>0</v>
      </c>
    </row>
    <row r="99" spans="1:7" x14ac:dyDescent="0.3">
      <c r="A99" s="350">
        <v>43480</v>
      </c>
      <c r="B99" s="357">
        <f t="shared" si="14"/>
        <v>559.01365146829812</v>
      </c>
      <c r="C99" s="335">
        <f>C100+20</f>
        <v>3780</v>
      </c>
      <c r="D99" s="357">
        <f t="shared" si="15"/>
        <v>477.78944569940012</v>
      </c>
      <c r="E99" s="371"/>
      <c r="F99" s="359">
        <f>USD_CNY!B1019</f>
        <v>6.7619100000000003</v>
      </c>
      <c r="G99" s="361">
        <f t="shared" si="30"/>
        <v>-45</v>
      </c>
    </row>
    <row r="100" spans="1:7" x14ac:dyDescent="0.3">
      <c r="A100" s="350">
        <v>43481</v>
      </c>
      <c r="B100" s="357">
        <f t="shared" si="14"/>
        <v>555.15772532980941</v>
      </c>
      <c r="C100" s="335">
        <v>3760</v>
      </c>
      <c r="D100" s="357">
        <f t="shared" si="15"/>
        <v>474.49378233317049</v>
      </c>
      <c r="E100" s="371">
        <v>463.5</v>
      </c>
      <c r="F100" s="359">
        <f>USD_CNY!B1020</f>
        <v>6.77285</v>
      </c>
      <c r="G100" s="361">
        <f t="shared" si="30"/>
        <v>-20</v>
      </c>
    </row>
    <row r="101" spans="1:7" x14ac:dyDescent="0.3">
      <c r="A101" s="350">
        <v>43482</v>
      </c>
      <c r="B101" s="357">
        <f t="shared" si="14"/>
        <v>556.2541608107108</v>
      </c>
      <c r="C101" s="335">
        <v>3760</v>
      </c>
      <c r="D101" s="357">
        <f t="shared" si="15"/>
        <v>475.43090667582123</v>
      </c>
      <c r="E101" s="371">
        <v>462</v>
      </c>
      <c r="F101" s="359">
        <f>USD_CNY!B1021</f>
        <v>6.7595000000000001</v>
      </c>
      <c r="G101" s="361">
        <f t="shared" si="30"/>
        <v>0</v>
      </c>
    </row>
    <row r="102" spans="1:7" x14ac:dyDescent="0.3">
      <c r="A102" s="350">
        <v>43483</v>
      </c>
      <c r="B102" s="357">
        <f t="shared" si="14"/>
        <v>555.0069449672236</v>
      </c>
      <c r="C102" s="335">
        <v>3760</v>
      </c>
      <c r="D102" s="357">
        <f t="shared" si="15"/>
        <v>474.3649102283963</v>
      </c>
      <c r="E102" s="371">
        <v>464</v>
      </c>
      <c r="F102" s="359">
        <f>USD_CNY!B1022</f>
        <v>6.7746899999999997</v>
      </c>
      <c r="G102" s="361">
        <f t="shared" si="30"/>
        <v>0</v>
      </c>
    </row>
    <row r="103" spans="1:7" x14ac:dyDescent="0.3">
      <c r="A103" s="350">
        <v>43486</v>
      </c>
      <c r="B103" s="357">
        <f t="shared" si="14"/>
        <v>560.19443599006649</v>
      </c>
      <c r="C103" s="335">
        <f>C104-30</f>
        <v>3810</v>
      </c>
      <c r="D103" s="357">
        <f t="shared" si="15"/>
        <v>478.79866323937313</v>
      </c>
      <c r="E103" s="371"/>
      <c r="F103" s="359">
        <f>USD_CNY!B1023</f>
        <v>6.8012100000000002</v>
      </c>
      <c r="G103" s="361">
        <f t="shared" si="30"/>
        <v>50</v>
      </c>
    </row>
    <row r="104" spans="1:7" x14ac:dyDescent="0.3">
      <c r="A104" s="350">
        <v>43487</v>
      </c>
      <c r="B104" s="357">
        <f t="shared" si="14"/>
        <v>564.72249183799522</v>
      </c>
      <c r="C104" s="335">
        <v>3840</v>
      </c>
      <c r="D104" s="357">
        <f t="shared" si="15"/>
        <v>482.66879644273098</v>
      </c>
      <c r="E104" s="371">
        <v>463</v>
      </c>
      <c r="F104" s="359">
        <f>USD_CNY!B1024</f>
        <v>6.7998000000000003</v>
      </c>
      <c r="G104" s="361">
        <f t="shared" ref="G104:G107" si="31">C104-C103</f>
        <v>30</v>
      </c>
    </row>
    <row r="105" spans="1:7" x14ac:dyDescent="0.3">
      <c r="A105" s="350">
        <v>43488</v>
      </c>
      <c r="B105" s="357" t="str">
        <f t="shared" si="14"/>
        <v/>
      </c>
      <c r="C105" s="335"/>
      <c r="D105" s="357">
        <f t="shared" si="15"/>
        <v>0</v>
      </c>
      <c r="E105" s="371"/>
      <c r="F105" s="359">
        <f>USD_CNY!B1025</f>
        <v>0</v>
      </c>
      <c r="G105" s="361">
        <f t="shared" si="31"/>
        <v>-3840</v>
      </c>
    </row>
    <row r="106" spans="1:7" x14ac:dyDescent="0.3">
      <c r="A106" s="350">
        <v>43489</v>
      </c>
      <c r="B106" s="357" t="str">
        <f t="shared" si="14"/>
        <v/>
      </c>
      <c r="C106" s="335"/>
      <c r="D106" s="357">
        <f t="shared" si="15"/>
        <v>0</v>
      </c>
      <c r="E106" s="371"/>
      <c r="F106" s="359">
        <f>USD_CNY!B1026</f>
        <v>0</v>
      </c>
      <c r="G106" s="361">
        <f t="shared" si="31"/>
        <v>0</v>
      </c>
    </row>
    <row r="107" spans="1:7" x14ac:dyDescent="0.3">
      <c r="A107" s="350">
        <v>43490</v>
      </c>
      <c r="B107" s="357" t="str">
        <f t="shared" si="14"/>
        <v/>
      </c>
      <c r="C107" s="335"/>
      <c r="D107" s="357">
        <f t="shared" si="15"/>
        <v>0</v>
      </c>
      <c r="E107" s="371"/>
      <c r="F107" s="359">
        <f>USD_CNY!B1027</f>
        <v>0</v>
      </c>
      <c r="G107" s="361">
        <f t="shared" si="31"/>
        <v>0</v>
      </c>
    </row>
    <row r="108" spans="1:7" x14ac:dyDescent="0.3">
      <c r="A108" s="350">
        <v>43491</v>
      </c>
      <c r="B108" s="357"/>
      <c r="C108" s="335"/>
      <c r="D108" s="357"/>
      <c r="E108" s="371"/>
      <c r="F108" s="359"/>
      <c r="G108" s="361"/>
    </row>
    <row r="109" spans="1:7" x14ac:dyDescent="0.3">
      <c r="A109" s="350"/>
      <c r="B109" s="357"/>
      <c r="C109" s="335"/>
      <c r="D109" s="357"/>
      <c r="E109" s="371"/>
      <c r="F109" s="359"/>
      <c r="G109" s="361"/>
    </row>
    <row r="110" spans="1:7" x14ac:dyDescent="0.3">
      <c r="A110" s="350"/>
      <c r="B110" s="357"/>
      <c r="C110" s="335"/>
      <c r="D110" s="357"/>
      <c r="E110" s="371"/>
      <c r="F110" s="359"/>
      <c r="G110" s="361"/>
    </row>
    <row r="111" spans="1:7" x14ac:dyDescent="0.3">
      <c r="A111" s="350"/>
      <c r="B111" s="357"/>
      <c r="C111" s="335"/>
      <c r="D111" s="357"/>
      <c r="E111" s="371"/>
      <c r="F111" s="359"/>
      <c r="G111" s="361"/>
    </row>
    <row r="112" spans="1:7" x14ac:dyDescent="0.3">
      <c r="A112" s="350"/>
      <c r="B112" s="357"/>
      <c r="C112" s="335"/>
      <c r="D112" s="357"/>
      <c r="E112" s="371"/>
      <c r="F112" s="359"/>
      <c r="G112" s="361"/>
    </row>
    <row r="113" spans="1:7" x14ac:dyDescent="0.3">
      <c r="A113" s="350"/>
      <c r="B113" s="357"/>
      <c r="C113" s="335"/>
      <c r="D113" s="357"/>
      <c r="E113" s="371"/>
      <c r="F113" s="359"/>
      <c r="G113" s="361"/>
    </row>
    <row r="114" spans="1:7" x14ac:dyDescent="0.3">
      <c r="A114" s="350"/>
      <c r="B114" s="357"/>
      <c r="C114" s="335"/>
      <c r="D114" s="357"/>
      <c r="E114" s="371"/>
      <c r="F114" s="359"/>
      <c r="G114" s="361"/>
    </row>
    <row r="115" spans="1:7" x14ac:dyDescent="0.3">
      <c r="A115" s="350"/>
      <c r="B115" s="357"/>
      <c r="C115" s="335"/>
      <c r="D115" s="357"/>
      <c r="E115" s="371"/>
      <c r="F115" s="359"/>
      <c r="G115" s="361"/>
    </row>
    <row r="116" spans="1:7" x14ac:dyDescent="0.3">
      <c r="A116" s="350"/>
      <c r="B116" s="357"/>
      <c r="C116" s="335"/>
      <c r="D116" s="357"/>
      <c r="E116" s="371"/>
      <c r="F116" s="359"/>
      <c r="G116" s="361"/>
    </row>
    <row r="117" spans="1:7" x14ac:dyDescent="0.3">
      <c r="A117" s="350"/>
      <c r="B117" s="357"/>
      <c r="C117" s="335"/>
      <c r="D117" s="357"/>
      <c r="E117" s="371"/>
      <c r="F117" s="359"/>
      <c r="G117" s="361"/>
    </row>
    <row r="118" spans="1:7" x14ac:dyDescent="0.3">
      <c r="A118" s="350"/>
      <c r="B118" s="357"/>
      <c r="C118" s="335"/>
      <c r="D118" s="357"/>
      <c r="E118" s="371"/>
      <c r="F118" s="359"/>
      <c r="G118" s="361"/>
    </row>
    <row r="119" spans="1:7" x14ac:dyDescent="0.3">
      <c r="A119" s="350"/>
      <c r="B119" s="357"/>
      <c r="C119" s="335"/>
      <c r="D119" s="357"/>
      <c r="E119" s="371"/>
      <c r="F119" s="359"/>
      <c r="G119" s="361"/>
    </row>
    <row r="120" spans="1:7" x14ac:dyDescent="0.3">
      <c r="A120" s="350"/>
      <c r="B120" s="357"/>
      <c r="C120" s="335"/>
      <c r="D120" s="357"/>
      <c r="E120" s="371"/>
      <c r="F120" s="359"/>
      <c r="G120" s="361"/>
    </row>
    <row r="121" spans="1:7" x14ac:dyDescent="0.3">
      <c r="A121" s="350"/>
      <c r="B121" s="357"/>
      <c r="C121" s="335"/>
      <c r="D121" s="357"/>
      <c r="E121" s="371"/>
      <c r="F121" s="359"/>
      <c r="G121" s="361"/>
    </row>
    <row r="122" spans="1:7" x14ac:dyDescent="0.3">
      <c r="A122" s="350"/>
      <c r="B122" s="357"/>
      <c r="C122" s="335"/>
      <c r="D122" s="357"/>
      <c r="E122" s="371"/>
      <c r="F122" s="359"/>
      <c r="G122" s="361"/>
    </row>
    <row r="123" spans="1:7" x14ac:dyDescent="0.3">
      <c r="A123" s="350"/>
      <c r="B123" s="357"/>
      <c r="C123" s="335"/>
      <c r="D123" s="357"/>
      <c r="E123" s="371"/>
      <c r="F123" s="359"/>
      <c r="G123" s="361"/>
    </row>
    <row r="124" spans="1:7" x14ac:dyDescent="0.3">
      <c r="A124" s="350"/>
      <c r="B124" s="357"/>
      <c r="C124" s="335"/>
      <c r="D124" s="357"/>
      <c r="E124" s="371"/>
      <c r="F124" s="359"/>
      <c r="G124" s="361"/>
    </row>
    <row r="125" spans="1:7" x14ac:dyDescent="0.3">
      <c r="A125" s="350"/>
      <c r="B125" s="357"/>
      <c r="C125" s="335"/>
      <c r="D125" s="357"/>
      <c r="E125" s="371"/>
      <c r="F125" s="359"/>
      <c r="G125" s="361"/>
    </row>
    <row r="126" spans="1:7" x14ac:dyDescent="0.3">
      <c r="A126" s="350"/>
      <c r="B126" s="357"/>
      <c r="C126" s="335"/>
      <c r="D126" s="357"/>
      <c r="E126" s="371"/>
      <c r="F126" s="359"/>
      <c r="G126" s="361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9" activePane="bottomLeft" state="frozen"/>
      <selection pane="bottomLeft" activeCell="C20" sqref="C20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1009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1010</v>
      </c>
      <c r="B2" s="104"/>
      <c r="C2" s="280"/>
      <c r="D2" s="104"/>
      <c r="E2" s="280"/>
      <c r="F2" s="171"/>
      <c r="G2" s="107"/>
      <c r="H2" s="107"/>
    </row>
    <row r="3" spans="1:10" x14ac:dyDescent="0.3">
      <c r="A3" s="378" t="s">
        <v>1031</v>
      </c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 t="s">
        <v>1030</v>
      </c>
      <c r="D5" s="108" t="s">
        <v>1008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350">
        <v>43433</v>
      </c>
      <c r="B15" s="110">
        <f t="shared" si="0"/>
        <v>1052.1627710219959</v>
      </c>
      <c r="C15" s="284">
        <v>7300</v>
      </c>
      <c r="D15" s="110">
        <f t="shared" ref="D15:D31" si="3">+IF(ISERROR(B15/1.17),0,B15/1.17)</f>
        <v>899.2844196769197</v>
      </c>
      <c r="E15" s="284"/>
      <c r="F15" s="177">
        <f>USD_CNY!B994</f>
        <v>6.9380899999999999</v>
      </c>
      <c r="G15" s="106">
        <v>0</v>
      </c>
    </row>
    <row r="16" spans="1:10" x14ac:dyDescent="0.3">
      <c r="A16" s="350">
        <v>43434</v>
      </c>
      <c r="B16" s="111">
        <f t="shared" si="0"/>
        <v>1052.6695266592162</v>
      </c>
      <c r="C16" s="284">
        <v>7300</v>
      </c>
      <c r="D16" s="110">
        <f t="shared" si="3"/>
        <v>899.71754415317628</v>
      </c>
      <c r="E16" s="284"/>
      <c r="F16" s="177">
        <f>USD_CNY!B995</f>
        <v>6.9347500000000002</v>
      </c>
      <c r="G16" s="106">
        <f t="shared" si="1"/>
        <v>0</v>
      </c>
    </row>
    <row r="17" spans="1:7" x14ac:dyDescent="0.3">
      <c r="A17" s="350">
        <v>43437</v>
      </c>
      <c r="B17" s="111">
        <f t="shared" si="0"/>
        <v>1055.2808131155505</v>
      </c>
      <c r="C17" s="284">
        <v>7300</v>
      </c>
      <c r="D17" s="110">
        <f t="shared" si="3"/>
        <v>901.94941291927398</v>
      </c>
      <c r="E17" s="284"/>
      <c r="F17" s="177">
        <f>USD_CNY!B996</f>
        <v>6.9175899999999997</v>
      </c>
      <c r="G17" s="106">
        <f t="shared" si="1"/>
        <v>0</v>
      </c>
    </row>
    <row r="18" spans="1:7" x14ac:dyDescent="0.3">
      <c r="A18" s="350">
        <v>43438</v>
      </c>
      <c r="B18" s="111">
        <f t="shared" si="0"/>
        <v>1062.2245309842165</v>
      </c>
      <c r="C18" s="284">
        <v>7300</v>
      </c>
      <c r="D18" s="110">
        <f t="shared" si="3"/>
        <v>907.88421451642444</v>
      </c>
      <c r="E18" s="284"/>
      <c r="F18" s="177">
        <f>USD_CNY!B997</f>
        <v>6.8723700000000001</v>
      </c>
      <c r="G18" s="106">
        <f t="shared" si="1"/>
        <v>0</v>
      </c>
    </row>
    <row r="19" spans="1:7" x14ac:dyDescent="0.3">
      <c r="A19" s="350">
        <v>43439</v>
      </c>
      <c r="B19" s="111">
        <f t="shared" si="0"/>
        <v>1065.9875498495205</v>
      </c>
      <c r="C19" s="284">
        <v>7300</v>
      </c>
      <c r="D19" s="110">
        <f t="shared" si="3"/>
        <v>911.10046995685525</v>
      </c>
      <c r="E19" s="284"/>
      <c r="F19" s="177">
        <f>USD_CNY!B998</f>
        <v>6.8481100000000001</v>
      </c>
      <c r="G19" s="106">
        <f t="shared" si="1"/>
        <v>0</v>
      </c>
    </row>
    <row r="20" spans="1:7" x14ac:dyDescent="0.3">
      <c r="A20" s="350">
        <v>43440</v>
      </c>
      <c r="B20" s="111">
        <f t="shared" si="0"/>
        <v>1064.6520921142824</v>
      </c>
      <c r="C20" s="284">
        <v>7300</v>
      </c>
      <c r="D20" s="110">
        <f t="shared" si="3"/>
        <v>909.95905308913029</v>
      </c>
      <c r="E20" s="284"/>
      <c r="F20" s="177">
        <f>USD_CNY!B999</f>
        <v>6.8567</v>
      </c>
      <c r="G20" s="106">
        <f>+C20-C19</f>
        <v>0</v>
      </c>
    </row>
    <row r="21" spans="1:7" x14ac:dyDescent="0.3">
      <c r="A21" s="350">
        <v>43441</v>
      </c>
      <c r="B21" s="111">
        <f t="shared" si="0"/>
        <v>0</v>
      </c>
      <c r="C21" s="284"/>
      <c r="D21" s="110">
        <f t="shared" si="3"/>
        <v>0</v>
      </c>
      <c r="E21" s="284"/>
      <c r="F21" s="177">
        <f>USD_CNY!B1000</f>
        <v>6.9106699999999996</v>
      </c>
      <c r="G21" s="106">
        <f t="shared" si="1"/>
        <v>-7300</v>
      </c>
    </row>
    <row r="22" spans="1:7" x14ac:dyDescent="0.3">
      <c r="A22" s="252"/>
      <c r="B22" s="111" t="str">
        <f t="shared" ref="B22:B60" si="4">+IF(F22=0,"",C22/F22)</f>
        <v/>
      </c>
      <c r="C22" s="284"/>
      <c r="D22" s="110">
        <f t="shared" si="3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4"/>
        <v/>
      </c>
      <c r="C23" s="284"/>
      <c r="D23" s="110">
        <f t="shared" si="3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4"/>
        <v/>
      </c>
      <c r="C24" s="284"/>
      <c r="D24" s="110">
        <f t="shared" si="3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4"/>
        <v/>
      </c>
      <c r="C25" s="284"/>
      <c r="D25" s="110">
        <f t="shared" si="3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4"/>
        <v/>
      </c>
      <c r="C26" s="284"/>
      <c r="D26" s="110">
        <f t="shared" si="3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4"/>
        <v/>
      </c>
      <c r="C27" s="284"/>
      <c r="D27" s="110">
        <f t="shared" si="3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4"/>
        <v/>
      </c>
      <c r="C28" s="284"/>
      <c r="D28" s="110">
        <f t="shared" si="3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4"/>
        <v/>
      </c>
      <c r="C29" s="284"/>
      <c r="D29" s="110">
        <f t="shared" si="3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4"/>
        <v/>
      </c>
      <c r="C30" s="284"/>
      <c r="D30" s="110">
        <f t="shared" si="3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4"/>
        <v/>
      </c>
      <c r="C31" s="284"/>
      <c r="D31" s="110">
        <f t="shared" si="3"/>
        <v>0</v>
      </c>
      <c r="E31" s="284"/>
      <c r="F31" s="175"/>
      <c r="G31" s="106">
        <f t="shared" ref="G31:G71" si="5">+C31-C30</f>
        <v>0</v>
      </c>
    </row>
    <row r="32" spans="1:7" x14ac:dyDescent="0.3">
      <c r="A32" s="252"/>
      <c r="B32" s="111" t="str">
        <f t="shared" si="4"/>
        <v/>
      </c>
      <c r="C32" s="284"/>
      <c r="D32" s="111">
        <f t="shared" si="2"/>
        <v>0</v>
      </c>
      <c r="E32" s="284"/>
      <c r="F32" s="175"/>
      <c r="G32" s="106">
        <f t="shared" si="5"/>
        <v>0</v>
      </c>
    </row>
    <row r="33" spans="1:7" x14ac:dyDescent="0.3">
      <c r="A33" s="252"/>
      <c r="B33" s="111" t="str">
        <f t="shared" si="4"/>
        <v/>
      </c>
      <c r="C33" s="284"/>
      <c r="D33" s="111">
        <f t="shared" si="2"/>
        <v>0</v>
      </c>
      <c r="E33" s="284"/>
      <c r="F33" s="175"/>
      <c r="G33" s="106">
        <f t="shared" si="5"/>
        <v>0</v>
      </c>
    </row>
    <row r="34" spans="1:7" x14ac:dyDescent="0.3">
      <c r="A34" s="252"/>
      <c r="B34" s="111" t="str">
        <f t="shared" si="4"/>
        <v/>
      </c>
      <c r="C34" s="284"/>
      <c r="D34" s="111">
        <f t="shared" si="2"/>
        <v>0</v>
      </c>
      <c r="E34" s="284"/>
      <c r="F34" s="175"/>
      <c r="G34" s="106">
        <f t="shared" si="5"/>
        <v>0</v>
      </c>
    </row>
    <row r="35" spans="1:7" x14ac:dyDescent="0.3">
      <c r="A35" s="252"/>
      <c r="B35" s="111" t="str">
        <f t="shared" si="4"/>
        <v/>
      </c>
      <c r="C35" s="284"/>
      <c r="D35" s="111">
        <f t="shared" si="2"/>
        <v>0</v>
      </c>
      <c r="E35" s="284"/>
      <c r="F35" s="175"/>
      <c r="G35" s="106">
        <f t="shared" si="5"/>
        <v>0</v>
      </c>
    </row>
    <row r="36" spans="1:7" x14ac:dyDescent="0.3">
      <c r="A36" s="252"/>
      <c r="B36" s="111" t="str">
        <f t="shared" si="4"/>
        <v/>
      </c>
      <c r="C36" s="284"/>
      <c r="D36" s="111">
        <f t="shared" si="2"/>
        <v>0</v>
      </c>
      <c r="E36" s="284"/>
      <c r="F36" s="175"/>
      <c r="G36" s="106">
        <f t="shared" si="5"/>
        <v>0</v>
      </c>
    </row>
    <row r="37" spans="1:7" x14ac:dyDescent="0.3">
      <c r="A37" s="252"/>
      <c r="B37" s="110" t="str">
        <f t="shared" si="4"/>
        <v/>
      </c>
      <c r="C37" s="288"/>
      <c r="D37" s="111">
        <f t="shared" si="2"/>
        <v>0</v>
      </c>
      <c r="E37" s="288"/>
      <c r="F37" s="175"/>
      <c r="G37" s="106">
        <f t="shared" si="5"/>
        <v>0</v>
      </c>
    </row>
    <row r="38" spans="1:7" x14ac:dyDescent="0.3">
      <c r="A38" s="252"/>
      <c r="B38" s="110" t="str">
        <f t="shared" si="4"/>
        <v/>
      </c>
      <c r="C38" s="288"/>
      <c r="D38" s="111">
        <f t="shared" si="2"/>
        <v>0</v>
      </c>
      <c r="E38" s="288"/>
      <c r="F38" s="175"/>
      <c r="G38" s="106">
        <f t="shared" si="5"/>
        <v>0</v>
      </c>
    </row>
    <row r="39" spans="1:7" x14ac:dyDescent="0.3">
      <c r="A39" s="252"/>
      <c r="B39" s="110" t="str">
        <f t="shared" si="4"/>
        <v/>
      </c>
      <c r="C39" s="288"/>
      <c r="D39" s="111">
        <f t="shared" si="2"/>
        <v>0</v>
      </c>
      <c r="E39" s="288"/>
      <c r="F39" s="175"/>
      <c r="G39" s="106">
        <f t="shared" si="5"/>
        <v>0</v>
      </c>
    </row>
    <row r="40" spans="1:7" x14ac:dyDescent="0.3">
      <c r="A40" s="252"/>
      <c r="B40" s="110" t="str">
        <f t="shared" si="4"/>
        <v/>
      </c>
      <c r="C40" s="288"/>
      <c r="D40" s="111">
        <f t="shared" si="2"/>
        <v>0</v>
      </c>
      <c r="E40" s="288"/>
      <c r="F40" s="175"/>
      <c r="G40" s="106">
        <f t="shared" si="5"/>
        <v>0</v>
      </c>
    </row>
    <row r="41" spans="1:7" x14ac:dyDescent="0.3">
      <c r="A41" s="252"/>
      <c r="B41" s="110" t="str">
        <f t="shared" si="4"/>
        <v/>
      </c>
      <c r="C41" s="288"/>
      <c r="D41" s="111">
        <f t="shared" si="2"/>
        <v>0</v>
      </c>
      <c r="E41" s="288"/>
      <c r="F41" s="175"/>
      <c r="G41" s="106">
        <f t="shared" si="5"/>
        <v>0</v>
      </c>
    </row>
    <row r="42" spans="1:7" x14ac:dyDescent="0.3">
      <c r="A42" s="252"/>
      <c r="B42" s="110" t="str">
        <f t="shared" si="4"/>
        <v/>
      </c>
      <c r="C42" s="288"/>
      <c r="D42" s="111">
        <f t="shared" si="2"/>
        <v>0</v>
      </c>
      <c r="E42" s="288"/>
      <c r="F42" s="175"/>
      <c r="G42" s="106">
        <f t="shared" si="5"/>
        <v>0</v>
      </c>
    </row>
    <row r="43" spans="1:7" x14ac:dyDescent="0.3">
      <c r="A43" s="252"/>
      <c r="B43" s="110" t="str">
        <f t="shared" si="4"/>
        <v/>
      </c>
      <c r="C43" s="288"/>
      <c r="D43" s="111">
        <f t="shared" si="2"/>
        <v>0</v>
      </c>
      <c r="E43" s="288"/>
      <c r="F43" s="175"/>
      <c r="G43" s="106">
        <f t="shared" si="5"/>
        <v>0</v>
      </c>
    </row>
    <row r="44" spans="1:7" x14ac:dyDescent="0.3">
      <c r="A44" s="252"/>
      <c r="B44" s="110" t="str">
        <f t="shared" si="4"/>
        <v/>
      </c>
      <c r="C44" s="288"/>
      <c r="D44" s="111">
        <f t="shared" si="2"/>
        <v>0</v>
      </c>
      <c r="E44" s="288"/>
      <c r="F44" s="175"/>
      <c r="G44" s="106">
        <f t="shared" si="5"/>
        <v>0</v>
      </c>
    </row>
    <row r="45" spans="1:7" x14ac:dyDescent="0.3">
      <c r="A45" s="252"/>
      <c r="B45" s="110" t="str">
        <f t="shared" si="4"/>
        <v/>
      </c>
      <c r="C45" s="288"/>
      <c r="D45" s="111">
        <f t="shared" si="2"/>
        <v>0</v>
      </c>
      <c r="E45" s="288"/>
      <c r="F45" s="175"/>
      <c r="G45" s="106">
        <f t="shared" si="5"/>
        <v>0</v>
      </c>
    </row>
    <row r="46" spans="1:7" x14ac:dyDescent="0.3">
      <c r="A46" s="252"/>
      <c r="B46" s="110" t="str">
        <f t="shared" si="4"/>
        <v/>
      </c>
      <c r="C46" s="288"/>
      <c r="D46" s="111">
        <f t="shared" si="2"/>
        <v>0</v>
      </c>
      <c r="E46" s="288"/>
      <c r="F46" s="175"/>
      <c r="G46" s="106">
        <f t="shared" si="5"/>
        <v>0</v>
      </c>
    </row>
    <row r="47" spans="1:7" x14ac:dyDescent="0.3">
      <c r="A47" s="252"/>
      <c r="B47" s="110" t="str">
        <f t="shared" si="4"/>
        <v/>
      </c>
      <c r="C47" s="288"/>
      <c r="D47" s="111">
        <f t="shared" si="2"/>
        <v>0</v>
      </c>
      <c r="E47" s="288"/>
      <c r="F47" s="175"/>
      <c r="G47" s="106">
        <f t="shared" si="5"/>
        <v>0</v>
      </c>
    </row>
    <row r="48" spans="1:7" x14ac:dyDescent="0.3">
      <c r="A48" s="252"/>
      <c r="B48" s="110" t="str">
        <f t="shared" si="4"/>
        <v/>
      </c>
      <c r="C48" s="288"/>
      <c r="D48" s="111">
        <f t="shared" si="2"/>
        <v>0</v>
      </c>
      <c r="E48" s="288"/>
      <c r="F48" s="175"/>
      <c r="G48" s="106">
        <f t="shared" si="5"/>
        <v>0</v>
      </c>
    </row>
    <row r="49" spans="1:7" x14ac:dyDescent="0.3">
      <c r="A49" s="252"/>
      <c r="B49" s="110" t="str">
        <f t="shared" si="4"/>
        <v/>
      </c>
      <c r="C49" s="288"/>
      <c r="D49" s="111">
        <f t="shared" si="2"/>
        <v>0</v>
      </c>
      <c r="E49" s="288"/>
      <c r="F49" s="175"/>
      <c r="G49" s="106">
        <f t="shared" si="5"/>
        <v>0</v>
      </c>
    </row>
    <row r="50" spans="1:7" x14ac:dyDescent="0.3">
      <c r="A50" s="252"/>
      <c r="B50" s="110" t="str">
        <f t="shared" si="4"/>
        <v/>
      </c>
      <c r="C50" s="288"/>
      <c r="D50" s="111">
        <f t="shared" si="2"/>
        <v>0</v>
      </c>
      <c r="E50" s="288"/>
      <c r="F50" s="175"/>
      <c r="G50" s="106">
        <f t="shared" si="5"/>
        <v>0</v>
      </c>
    </row>
    <row r="51" spans="1:7" x14ac:dyDescent="0.3">
      <c r="A51" s="252"/>
      <c r="B51" s="110" t="str">
        <f t="shared" si="4"/>
        <v/>
      </c>
      <c r="C51" s="288"/>
      <c r="D51" s="111">
        <f t="shared" si="2"/>
        <v>0</v>
      </c>
      <c r="E51" s="288"/>
      <c r="F51" s="175"/>
      <c r="G51" s="106">
        <f t="shared" si="5"/>
        <v>0</v>
      </c>
    </row>
    <row r="52" spans="1:7" x14ac:dyDescent="0.3">
      <c r="A52" s="252"/>
      <c r="B52" s="110" t="str">
        <f t="shared" si="4"/>
        <v/>
      </c>
      <c r="C52" s="288"/>
      <c r="D52" s="111">
        <f t="shared" si="2"/>
        <v>0</v>
      </c>
      <c r="E52" s="288"/>
      <c r="F52" s="175"/>
      <c r="G52" s="106">
        <f t="shared" si="5"/>
        <v>0</v>
      </c>
    </row>
    <row r="53" spans="1:7" x14ac:dyDescent="0.3">
      <c r="A53" s="252"/>
      <c r="B53" s="110" t="str">
        <f t="shared" si="4"/>
        <v/>
      </c>
      <c r="C53" s="288"/>
      <c r="D53" s="111">
        <f t="shared" si="2"/>
        <v>0</v>
      </c>
      <c r="E53" s="288"/>
      <c r="F53" s="175"/>
      <c r="G53" s="106">
        <f t="shared" si="5"/>
        <v>0</v>
      </c>
    </row>
    <row r="54" spans="1:7" x14ac:dyDescent="0.3">
      <c r="A54" s="252"/>
      <c r="B54" s="110" t="str">
        <f t="shared" si="4"/>
        <v/>
      </c>
      <c r="C54" s="288"/>
      <c r="D54" s="111">
        <f t="shared" si="2"/>
        <v>0</v>
      </c>
      <c r="E54" s="288"/>
      <c r="F54" s="175"/>
      <c r="G54" s="106">
        <f t="shared" si="5"/>
        <v>0</v>
      </c>
    </row>
    <row r="55" spans="1:7" x14ac:dyDescent="0.3">
      <c r="A55" s="252"/>
      <c r="B55" s="110" t="str">
        <f t="shared" si="4"/>
        <v/>
      </c>
      <c r="C55" s="288"/>
      <c r="D55" s="111">
        <f t="shared" si="2"/>
        <v>0</v>
      </c>
      <c r="E55" s="288"/>
      <c r="F55" s="175"/>
      <c r="G55" s="106">
        <f t="shared" si="5"/>
        <v>0</v>
      </c>
    </row>
    <row r="56" spans="1:7" x14ac:dyDescent="0.3">
      <c r="A56" s="252"/>
      <c r="B56" s="110" t="str">
        <f t="shared" si="4"/>
        <v/>
      </c>
      <c r="C56" s="288"/>
      <c r="D56" s="111">
        <f t="shared" si="2"/>
        <v>0</v>
      </c>
      <c r="E56" s="288"/>
      <c r="F56" s="175"/>
      <c r="G56" s="106">
        <f t="shared" si="5"/>
        <v>0</v>
      </c>
    </row>
    <row r="57" spans="1:7" x14ac:dyDescent="0.3">
      <c r="A57" s="252"/>
      <c r="B57" s="110" t="str">
        <f t="shared" si="4"/>
        <v/>
      </c>
      <c r="C57" s="288"/>
      <c r="D57" s="111">
        <f t="shared" si="2"/>
        <v>0</v>
      </c>
      <c r="E57" s="288"/>
      <c r="F57" s="175"/>
      <c r="G57" s="106">
        <f t="shared" si="5"/>
        <v>0</v>
      </c>
    </row>
    <row r="58" spans="1:7" x14ac:dyDescent="0.3">
      <c r="A58" s="252"/>
      <c r="B58" s="110" t="str">
        <f t="shared" si="4"/>
        <v/>
      </c>
      <c r="C58" s="288"/>
      <c r="D58" s="111">
        <f t="shared" si="2"/>
        <v>0</v>
      </c>
      <c r="E58" s="288"/>
      <c r="F58" s="175"/>
      <c r="G58" s="106">
        <f t="shared" si="5"/>
        <v>0</v>
      </c>
    </row>
    <row r="59" spans="1:7" x14ac:dyDescent="0.3">
      <c r="A59" s="252"/>
      <c r="B59" s="110" t="str">
        <f t="shared" si="4"/>
        <v/>
      </c>
      <c r="C59" s="288"/>
      <c r="D59" s="111">
        <f t="shared" si="2"/>
        <v>0</v>
      </c>
      <c r="E59" s="288"/>
      <c r="F59" s="175"/>
      <c r="G59" s="106">
        <f t="shared" si="5"/>
        <v>0</v>
      </c>
    </row>
    <row r="60" spans="1:7" x14ac:dyDescent="0.3">
      <c r="A60" s="252"/>
      <c r="B60" s="110" t="str">
        <f t="shared" si="4"/>
        <v/>
      </c>
      <c r="C60" s="288"/>
      <c r="D60" s="111">
        <f t="shared" si="2"/>
        <v>0</v>
      </c>
      <c r="E60" s="288"/>
      <c r="F60" s="175"/>
      <c r="G60" s="106">
        <f t="shared" si="5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5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5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5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5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5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5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5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5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5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5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5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6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6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6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6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6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6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6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6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6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6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6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6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6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6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6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6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6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6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6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6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6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6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6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6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6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6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6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6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6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6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6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6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6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6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6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6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6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6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6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6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6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6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6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6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6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6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6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6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6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6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6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6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6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6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6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6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6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6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6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6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6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6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6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6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7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7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7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7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7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7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7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7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7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7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7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7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7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7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7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7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7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7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7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7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7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7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7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8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8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8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8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8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8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8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8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Coke</vt:lpstr>
      <vt:lpstr>Steel</vt:lpstr>
      <vt:lpstr>SiMn 6014</vt:lpstr>
      <vt:lpstr>SiMn 6517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2019-01-22T08:17:37Z</dcterms:modified>
</cp:coreProperties>
</file>